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sbedacee\AppData\Local\Microsoft\Windows\INetCache\Content.Outlook\6Y70VQQA\"/>
    </mc:Choice>
  </mc:AlternateContent>
  <xr:revisionPtr revIDLastSave="0" documentId="13_ncr:1_{0AE36DB2-35CC-470C-A1D6-E5A1639CD016}" xr6:coauthVersionLast="47" xr6:coauthVersionMax="47" xr10:uidLastSave="{00000000-0000-0000-0000-000000000000}"/>
  <bookViews>
    <workbookView xWindow="-110" yWindow="-110" windowWidth="19420" windowHeight="11500" tabRatio="774" activeTab="1" xr2:uid="{00000000-000D-0000-FFFF-FFFF00000000}"/>
  </bookViews>
  <sheets>
    <sheet name="Table of Contents" sheetId="1" r:id="rId1"/>
    <sheet name="Tab 1" sheetId="2" r:id="rId2"/>
    <sheet name="Tab 1a" sheetId="23" r:id="rId3"/>
    <sheet name="Tab 1b" sheetId="24" r:id="rId4"/>
    <sheet name="Tab 2" sheetId="5" r:id="rId5"/>
    <sheet name="Tab 3" sheetId="6" r:id="rId6"/>
    <sheet name="Tab 4" sheetId="7" r:id="rId7"/>
    <sheet name="Tab 5" sheetId="8" r:id="rId8"/>
    <sheet name="Tab 6" sheetId="9" r:id="rId9"/>
    <sheet name="Tab 7" sheetId="10" r:id="rId10"/>
    <sheet name="Tab 8" sheetId="29" r:id="rId11"/>
    <sheet name="Tab 9" sheetId="12" r:id="rId12"/>
    <sheet name="Tab 10" sheetId="13" r:id="rId13"/>
    <sheet name="Tab 11" sheetId="14" r:id="rId14"/>
    <sheet name="Tab 12" sheetId="15" r:id="rId15"/>
    <sheet name="Tab 13" sheetId="16" r:id="rId16"/>
    <sheet name="Tab 14" sheetId="17" r:id="rId17"/>
    <sheet name="Tab 15" sheetId="18" r:id="rId18"/>
    <sheet name="Tab 16" sheetId="19" r:id="rId19"/>
    <sheet name="Tab 17" sheetId="20" r:id="rId20"/>
    <sheet name="Tab 18" sheetId="30" r:id="rId21"/>
    <sheet name="Tab 19" sheetId="21" r:id="rId22"/>
  </sheets>
  <definedNames>
    <definedName name="_xlnm.Print_Area" localSheetId="1">'Tab 1'!$A$1:$BZ$67</definedName>
    <definedName name="_xlnm.Print_Area" localSheetId="12">'Tab 10'!$A$1:$HF$33</definedName>
    <definedName name="_xlnm.Print_Area" localSheetId="13">'Tab 11'!$A$1:$BR$27</definedName>
    <definedName name="_xlnm.Print_Area" localSheetId="14">'Tab 12'!$A$1:$KG$25</definedName>
    <definedName name="_xlnm.Print_Area" localSheetId="15">'Tab 13'!$A$1:$BF$31</definedName>
    <definedName name="_xlnm.Print_Area" localSheetId="16">'Tab 14'!$A$1:$BF$20</definedName>
    <definedName name="_xlnm.Print_Area" localSheetId="17">'Tab 15'!$A$1:$FP$16</definedName>
    <definedName name="_xlnm.Print_Area" localSheetId="18">'Tab 16'!$B$1:$HV$14</definedName>
    <definedName name="_xlnm.Print_Area" localSheetId="19">'Tab 17'!$A$1:$BF$18</definedName>
    <definedName name="_xlnm.Print_Area" localSheetId="20">'Tab 18'!$A$1:$AT$66</definedName>
    <definedName name="_xlnm.Print_Area" localSheetId="21">'Tab 19'!$A$1:$BJ$71</definedName>
    <definedName name="_xlnm.Print_Area" localSheetId="2">'Tab 1a'!$A$2:$BU$42</definedName>
    <definedName name="_xlnm.Print_Area" localSheetId="3">'Tab 1b'!$A$2:$BU$26</definedName>
    <definedName name="_xlnm.Print_Area" localSheetId="4">'Tab 2'!$A$1:$BO$59</definedName>
    <definedName name="_xlnm.Print_Area" localSheetId="5">'Tab 3'!$A$1:$BQ$43</definedName>
    <definedName name="_xlnm.Print_Area" localSheetId="6">'Tab 4'!$A$2:$CD$35</definedName>
    <definedName name="_xlnm.Print_Area" localSheetId="7">'Tab 5'!$A$1:$CM$53</definedName>
    <definedName name="_xlnm.Print_Area" localSheetId="8">'Tab 6'!$A$1:$BT$19</definedName>
    <definedName name="_xlnm.Print_Area" localSheetId="9">'Tab 7'!$A$1:$AY$29</definedName>
    <definedName name="_xlnm.Print_Area" localSheetId="10">'Tab 8'!$BD$89:$BK$118</definedName>
    <definedName name="_xlnm.Print_Area" localSheetId="11">'Tab 9'!$A$1:$JB$43</definedName>
    <definedName name="_xlnm.Print_Titles" localSheetId="12">'Tab 10'!$A:$A</definedName>
    <definedName name="_xlnm.Print_Titles" localSheetId="21">'Tab 19'!$3:$3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9" l="1"/>
  <c r="I7" i="29" s="1"/>
  <c r="P7" i="29"/>
  <c r="R7" i="29" s="1"/>
  <c r="Y7" i="29"/>
  <c r="AA7" i="29" s="1"/>
  <c r="AH7" i="29"/>
  <c r="AJ7" i="29" s="1"/>
  <c r="AS7" i="29"/>
  <c r="AZ7" i="29"/>
  <c r="BB7" i="29" s="1"/>
  <c r="BI7" i="29"/>
  <c r="BK7" i="29"/>
  <c r="BQ7" i="29"/>
  <c r="BS7" i="29" s="1"/>
  <c r="CB7" i="29"/>
  <c r="CK7" i="29"/>
  <c r="CT7" i="29"/>
  <c r="DC7" i="29"/>
  <c r="DL7" i="29"/>
  <c r="DS7" i="29"/>
  <c r="DU7" i="29" s="1"/>
  <c r="ED7" i="29"/>
  <c r="EM7" i="29"/>
  <c r="EV7" i="29"/>
  <c r="FE7" i="29"/>
  <c r="FN7" i="29"/>
  <c r="FW7" i="29"/>
  <c r="GF7" i="29"/>
  <c r="GM7" i="29"/>
  <c r="GO7" i="29" s="1"/>
  <c r="GV7" i="29"/>
  <c r="GX7" i="29" s="1"/>
  <c r="HG7" i="29"/>
  <c r="HP7" i="29"/>
  <c r="HY7" i="29"/>
  <c r="IH7" i="29"/>
  <c r="IQ7" i="29"/>
  <c r="G8" i="29"/>
  <c r="P8" i="29"/>
  <c r="R8" i="29" s="1"/>
  <c r="Y8" i="29"/>
  <c r="AA8" i="29" s="1"/>
  <c r="AH8" i="29"/>
  <c r="AJ8" i="29" s="1"/>
  <c r="AQ8" i="29"/>
  <c r="AS8" i="29"/>
  <c r="AZ8" i="29"/>
  <c r="BB8" i="29" s="1"/>
  <c r="BI8" i="29"/>
  <c r="BK8" i="29" s="1"/>
  <c r="BQ8" i="29"/>
  <c r="BS8" i="29" s="1"/>
  <c r="CB8" i="29"/>
  <c r="CI8" i="29"/>
  <c r="CR8" i="29"/>
  <c r="CT8" i="29"/>
  <c r="DA8" i="29"/>
  <c r="DC8" i="29" s="1"/>
  <c r="DJ8" i="29"/>
  <c r="DL8" i="29" s="1"/>
  <c r="DS8" i="29"/>
  <c r="DU8" i="29" s="1"/>
  <c r="EB8" i="29"/>
  <c r="ED8" i="29" s="1"/>
  <c r="EK8" i="29"/>
  <c r="EM8" i="29" s="1"/>
  <c r="EV8" i="29"/>
  <c r="FE8" i="29"/>
  <c r="FN8" i="29"/>
  <c r="FW8" i="29"/>
  <c r="GF8" i="29"/>
  <c r="GO8" i="29"/>
  <c r="GX8" i="29"/>
  <c r="HG8" i="29"/>
  <c r="HP8" i="29"/>
  <c r="HY8" i="29"/>
  <c r="IH8" i="29"/>
  <c r="IQ8" i="29"/>
  <c r="G9" i="29"/>
  <c r="I9" i="29" s="1"/>
  <c r="P9" i="29"/>
  <c r="R9" i="29" s="1"/>
  <c r="Y9" i="29"/>
  <c r="AA9" i="29" s="1"/>
  <c r="AH9" i="29"/>
  <c r="AJ9" i="29" s="1"/>
  <c r="AQ9" i="29"/>
  <c r="AS9" i="29" s="1"/>
  <c r="AZ9" i="29"/>
  <c r="BB9" i="29" s="1"/>
  <c r="BI9" i="29"/>
  <c r="BK9" i="29" s="1"/>
  <c r="BQ9" i="29"/>
  <c r="BS9" i="29" s="1"/>
  <c r="BZ9" i="29"/>
  <c r="CI9" i="29"/>
  <c r="CK9" i="29" s="1"/>
  <c r="CR9" i="29"/>
  <c r="CT9" i="29" s="1"/>
  <c r="DA9" i="29"/>
  <c r="DC9" i="29" s="1"/>
  <c r="DJ9" i="29"/>
  <c r="DS9" i="29"/>
  <c r="DU9" i="29"/>
  <c r="EB9" i="29"/>
  <c r="ED9" i="29" s="1"/>
  <c r="EK9" i="29"/>
  <c r="EM9" i="29" s="1"/>
  <c r="EV9" i="29"/>
  <c r="FE9" i="29"/>
  <c r="FN9" i="29"/>
  <c r="FW9" i="29"/>
  <c r="GF9" i="29"/>
  <c r="GO9" i="29"/>
  <c r="GX9" i="29"/>
  <c r="HG9" i="29"/>
  <c r="HP9" i="29"/>
  <c r="HY9" i="29"/>
  <c r="IH9" i="29"/>
  <c r="IN9" i="29"/>
  <c r="IN28" i="29" s="1"/>
  <c r="G10" i="29"/>
  <c r="I10" i="29"/>
  <c r="P10" i="29"/>
  <c r="R10" i="29" s="1"/>
  <c r="Y10" i="29"/>
  <c r="AA10" i="29" s="1"/>
  <c r="AH10" i="29"/>
  <c r="AJ10" i="29" s="1"/>
  <c r="AQ10" i="29"/>
  <c r="AS10" i="29" s="1"/>
  <c r="AZ10" i="29"/>
  <c r="BB10" i="29" s="1"/>
  <c r="BI10" i="29"/>
  <c r="BK10" i="29" s="1"/>
  <c r="BQ10" i="29"/>
  <c r="BS10" i="29" s="1"/>
  <c r="BZ10" i="29"/>
  <c r="CB10" i="29" s="1"/>
  <c r="CI10" i="29"/>
  <c r="CK10" i="29"/>
  <c r="CR10" i="29"/>
  <c r="CT10" i="29" s="1"/>
  <c r="DA10" i="29"/>
  <c r="DC10" i="29"/>
  <c r="DJ10" i="29"/>
  <c r="DL10" i="29" s="1"/>
  <c r="DU10" i="29"/>
  <c r="ED10" i="29"/>
  <c r="EM10" i="29"/>
  <c r="EV10" i="29"/>
  <c r="FE10" i="29"/>
  <c r="FN10" i="29"/>
  <c r="FW10" i="29"/>
  <c r="GF10" i="29"/>
  <c r="GO10" i="29"/>
  <c r="GX10" i="29"/>
  <c r="HD10" i="29"/>
  <c r="HG10" i="29" s="1"/>
  <c r="HM10" i="29"/>
  <c r="HP10" i="29" s="1"/>
  <c r="HV10" i="29"/>
  <c r="HV28" i="29" s="1"/>
  <c r="HY10" i="29"/>
  <c r="IE10" i="29"/>
  <c r="IH10" i="29" s="1"/>
  <c r="IQ10" i="29"/>
  <c r="G11" i="29"/>
  <c r="I11" i="29" s="1"/>
  <c r="P11" i="29"/>
  <c r="R11" i="29" s="1"/>
  <c r="Y11" i="29"/>
  <c r="AH11" i="29"/>
  <c r="AJ11" i="29" s="1"/>
  <c r="AQ11" i="29"/>
  <c r="AS11" i="29" s="1"/>
  <c r="AZ11" i="29"/>
  <c r="BB11" i="29" s="1"/>
  <c r="BI11" i="29"/>
  <c r="BK11" i="29"/>
  <c r="BQ11" i="29"/>
  <c r="BS11" i="29" s="1"/>
  <c r="BZ11" i="29"/>
  <c r="CB11" i="29"/>
  <c r="CK11" i="29"/>
  <c r="CT11" i="29"/>
  <c r="DC11" i="29"/>
  <c r="DL11" i="29"/>
  <c r="DU11" i="29"/>
  <c r="ED11" i="29"/>
  <c r="EM11" i="29"/>
  <c r="EV11" i="29"/>
  <c r="FE11" i="29"/>
  <c r="FN11" i="29"/>
  <c r="FW11" i="29"/>
  <c r="GF11" i="29"/>
  <c r="GL11" i="29"/>
  <c r="GL28" i="29" s="1"/>
  <c r="GO11" i="29"/>
  <c r="GU11" i="29"/>
  <c r="GX11" i="29" s="1"/>
  <c r="HG11" i="29"/>
  <c r="HP11" i="29"/>
  <c r="HY11" i="29"/>
  <c r="IH11" i="29"/>
  <c r="IQ11" i="29"/>
  <c r="G12" i="29"/>
  <c r="I12" i="29" s="1"/>
  <c r="P12" i="29"/>
  <c r="R12" i="29" s="1"/>
  <c r="Y12" i="29"/>
  <c r="AA12" i="29"/>
  <c r="AH12" i="29"/>
  <c r="AJ12" i="29" s="1"/>
  <c r="AQ12" i="29"/>
  <c r="AS12" i="29"/>
  <c r="BB12" i="29"/>
  <c r="BK12" i="29"/>
  <c r="BS12" i="29"/>
  <c r="CB12" i="29"/>
  <c r="CK12" i="29"/>
  <c r="CT12" i="29"/>
  <c r="DC12" i="29"/>
  <c r="DL12" i="29"/>
  <c r="DU12" i="29"/>
  <c r="ED12" i="29"/>
  <c r="EM12" i="29"/>
  <c r="EV12" i="29"/>
  <c r="FE12" i="29"/>
  <c r="FN12" i="29"/>
  <c r="FW12" i="29"/>
  <c r="GF12" i="29"/>
  <c r="GO12" i="29"/>
  <c r="GX12" i="29"/>
  <c r="HG12" i="29"/>
  <c r="HP12" i="29"/>
  <c r="HY12" i="29"/>
  <c r="IH12" i="29"/>
  <c r="IQ12" i="29"/>
  <c r="G13" i="29"/>
  <c r="I13" i="29"/>
  <c r="R13" i="29"/>
  <c r="AA13" i="29"/>
  <c r="AJ13" i="29"/>
  <c r="AS13" i="29"/>
  <c r="BB13" i="29"/>
  <c r="BK13" i="29"/>
  <c r="BS13" i="29"/>
  <c r="CB13" i="29"/>
  <c r="CK13" i="29"/>
  <c r="CT13" i="29"/>
  <c r="DC13" i="29"/>
  <c r="DL13" i="29"/>
  <c r="DU13" i="29"/>
  <c r="ED13" i="29"/>
  <c r="EM13" i="29"/>
  <c r="EV13" i="29"/>
  <c r="FE13" i="29"/>
  <c r="FN13" i="29"/>
  <c r="FW13" i="29"/>
  <c r="GF13" i="29"/>
  <c r="GO13" i="29"/>
  <c r="GX13" i="29"/>
  <c r="HG13" i="29"/>
  <c r="HP13" i="29"/>
  <c r="HY13" i="29"/>
  <c r="IH13" i="29"/>
  <c r="IQ13" i="29"/>
  <c r="I14" i="29"/>
  <c r="R14" i="29"/>
  <c r="AA14" i="29"/>
  <c r="AJ14" i="29"/>
  <c r="AS14" i="29"/>
  <c r="BB14" i="29"/>
  <c r="BK14" i="29"/>
  <c r="BS14" i="29"/>
  <c r="CB14" i="29"/>
  <c r="CK14" i="29"/>
  <c r="CT14" i="29"/>
  <c r="DC14" i="29"/>
  <c r="DL14" i="29"/>
  <c r="DS14" i="29"/>
  <c r="DU14" i="29"/>
  <c r="EB14" i="29"/>
  <c r="ED14" i="29" s="1"/>
  <c r="EK14" i="29"/>
  <c r="EM14" i="29"/>
  <c r="EV14" i="29"/>
  <c r="FE14" i="29"/>
  <c r="FN14" i="29"/>
  <c r="FW14" i="29"/>
  <c r="GF14" i="29"/>
  <c r="GO14" i="29"/>
  <c r="GX14" i="29"/>
  <c r="HG14" i="29"/>
  <c r="HP14" i="29"/>
  <c r="HY14" i="29"/>
  <c r="IH14" i="29"/>
  <c r="IQ14" i="29"/>
  <c r="I15" i="29"/>
  <c r="R15" i="29"/>
  <c r="AA15" i="29"/>
  <c r="AJ15" i="29"/>
  <c r="AS15" i="29"/>
  <c r="BB15" i="29"/>
  <c r="BK15" i="29"/>
  <c r="BS15" i="29"/>
  <c r="CB15" i="29"/>
  <c r="CI15" i="29"/>
  <c r="CK15" i="29" s="1"/>
  <c r="CR15" i="29"/>
  <c r="CT15" i="29"/>
  <c r="DA15" i="29"/>
  <c r="DC15" i="29" s="1"/>
  <c r="DJ15" i="29"/>
  <c r="DL15" i="29"/>
  <c r="DU15" i="29"/>
  <c r="ED15" i="29"/>
  <c r="EM15" i="29"/>
  <c r="EV15" i="29"/>
  <c r="FE15" i="29"/>
  <c r="FN15" i="29"/>
  <c r="FW15" i="29"/>
  <c r="GF15" i="29"/>
  <c r="GO15" i="29"/>
  <c r="GX15" i="29"/>
  <c r="HG15" i="29"/>
  <c r="HP15" i="29"/>
  <c r="HY15" i="29"/>
  <c r="IH15" i="29"/>
  <c r="IQ15" i="29"/>
  <c r="I16" i="29"/>
  <c r="R16" i="29"/>
  <c r="AA16" i="29"/>
  <c r="AJ16" i="29"/>
  <c r="AS16" i="29"/>
  <c r="AZ16" i="29"/>
  <c r="BB16" i="29" s="1"/>
  <c r="BI16" i="29"/>
  <c r="BK16" i="29"/>
  <c r="BQ16" i="29"/>
  <c r="BS16" i="29" s="1"/>
  <c r="BZ16" i="29"/>
  <c r="CB16" i="29"/>
  <c r="CK16" i="29"/>
  <c r="CT16" i="29"/>
  <c r="DC16" i="29"/>
  <c r="DL16" i="29"/>
  <c r="DU16" i="29"/>
  <c r="ED16" i="29"/>
  <c r="EM16" i="29"/>
  <c r="EV16" i="29"/>
  <c r="FE16" i="29"/>
  <c r="FN16" i="29"/>
  <c r="FU16" i="29"/>
  <c r="FW16" i="29" s="1"/>
  <c r="GF16" i="29"/>
  <c r="GO16" i="29"/>
  <c r="GX16" i="29"/>
  <c r="HG16" i="29"/>
  <c r="HP16" i="29"/>
  <c r="HY16" i="29"/>
  <c r="IH16" i="29"/>
  <c r="IO16" i="29"/>
  <c r="IQ16" i="29" s="1"/>
  <c r="I17" i="29"/>
  <c r="R17" i="29"/>
  <c r="AA17" i="29"/>
  <c r="AJ17" i="29"/>
  <c r="AS17" i="29"/>
  <c r="BB17" i="29"/>
  <c r="BK17" i="29"/>
  <c r="BS17" i="29"/>
  <c r="CB17" i="29"/>
  <c r="CK17" i="29"/>
  <c r="CT17" i="29"/>
  <c r="DC17" i="29"/>
  <c r="DL17" i="29"/>
  <c r="DU17" i="29"/>
  <c r="ED17" i="29"/>
  <c r="EM17" i="29"/>
  <c r="EV17" i="29"/>
  <c r="FE17" i="29"/>
  <c r="FN17" i="29"/>
  <c r="FW17" i="29"/>
  <c r="GF17" i="29"/>
  <c r="GO17" i="29"/>
  <c r="GV17" i="29"/>
  <c r="HG17" i="29"/>
  <c r="HN17" i="29"/>
  <c r="HP17" i="29" s="1"/>
  <c r="HW17" i="29"/>
  <c r="HY17" i="29" s="1"/>
  <c r="IF17" i="29"/>
  <c r="IH17" i="29"/>
  <c r="IQ17" i="29"/>
  <c r="I18" i="29"/>
  <c r="R18" i="29"/>
  <c r="AA18" i="29"/>
  <c r="AJ18" i="29"/>
  <c r="AS18" i="29"/>
  <c r="BB18" i="29"/>
  <c r="BK18" i="29"/>
  <c r="BS18" i="29"/>
  <c r="CB18" i="29"/>
  <c r="CK18" i="29"/>
  <c r="CT18" i="29"/>
  <c r="DC18" i="29"/>
  <c r="DL18" i="29"/>
  <c r="DS18" i="29"/>
  <c r="DU18" i="29" s="1"/>
  <c r="EB18" i="29"/>
  <c r="ED18" i="29" s="1"/>
  <c r="EK18" i="29"/>
  <c r="EM18" i="29"/>
  <c r="EV18" i="29"/>
  <c r="FE18" i="29"/>
  <c r="FN18" i="29"/>
  <c r="FW18" i="29"/>
  <c r="GF18" i="29"/>
  <c r="GO18" i="29"/>
  <c r="GX18" i="29"/>
  <c r="HG18" i="29"/>
  <c r="HP18" i="29"/>
  <c r="HY18" i="29"/>
  <c r="IH18" i="29"/>
  <c r="IQ18" i="29"/>
  <c r="I19" i="29"/>
  <c r="R19" i="29"/>
  <c r="AA19" i="29"/>
  <c r="AJ19" i="29"/>
  <c r="AS19" i="29"/>
  <c r="BB19" i="29"/>
  <c r="BK19" i="29"/>
  <c r="BS19" i="29"/>
  <c r="CB19" i="29"/>
  <c r="CI19" i="29"/>
  <c r="CK19" i="29" s="1"/>
  <c r="CR19" i="29"/>
  <c r="CT19" i="29"/>
  <c r="DA19" i="29"/>
  <c r="DC19" i="29" s="1"/>
  <c r="DJ19" i="29"/>
  <c r="DL19" i="29" s="1"/>
  <c r="DS19" i="29"/>
  <c r="DU19" i="29"/>
  <c r="EB19" i="29"/>
  <c r="ED19" i="29" s="1"/>
  <c r="EK19" i="29"/>
  <c r="EM19" i="29"/>
  <c r="EV19" i="29"/>
  <c r="FE19" i="29"/>
  <c r="FN19" i="29"/>
  <c r="FW19" i="29"/>
  <c r="GF19" i="29"/>
  <c r="GO19" i="29"/>
  <c r="GX19" i="29"/>
  <c r="HG19" i="29"/>
  <c r="HP19" i="29"/>
  <c r="HY19" i="29"/>
  <c r="IH19" i="29"/>
  <c r="IQ19" i="29"/>
  <c r="I20" i="29"/>
  <c r="R20" i="29"/>
  <c r="AA20" i="29"/>
  <c r="AJ20" i="29"/>
  <c r="AS20" i="29"/>
  <c r="AZ20" i="29"/>
  <c r="BB20" i="29"/>
  <c r="BI20" i="29"/>
  <c r="BK20" i="29"/>
  <c r="BQ20" i="29"/>
  <c r="BS20" i="29" s="1"/>
  <c r="BZ20" i="29"/>
  <c r="CB20" i="29" s="1"/>
  <c r="CI20" i="29"/>
  <c r="CK20" i="29" s="1"/>
  <c r="CR20" i="29"/>
  <c r="CT20" i="29"/>
  <c r="DA20" i="29"/>
  <c r="DC20" i="29" s="1"/>
  <c r="DJ20" i="29"/>
  <c r="DL20" i="29"/>
  <c r="DU20" i="29"/>
  <c r="ED20" i="29"/>
  <c r="EM20" i="29"/>
  <c r="EV20" i="29"/>
  <c r="FE20" i="29"/>
  <c r="FN20" i="29"/>
  <c r="FW20" i="29"/>
  <c r="GF20" i="29"/>
  <c r="GO20" i="29"/>
  <c r="GX20" i="29"/>
  <c r="HG20" i="29"/>
  <c r="HP20" i="29"/>
  <c r="HY20" i="29"/>
  <c r="IH20" i="29"/>
  <c r="IQ20" i="29"/>
  <c r="I21" i="29"/>
  <c r="P21" i="29"/>
  <c r="R21" i="29" s="1"/>
  <c r="Y21" i="29"/>
  <c r="AA21" i="29" s="1"/>
  <c r="AH21" i="29"/>
  <c r="AJ21" i="29" s="1"/>
  <c r="AQ21" i="29"/>
  <c r="AS21" i="29"/>
  <c r="AZ21" i="29"/>
  <c r="BB21" i="29"/>
  <c r="BI21" i="29"/>
  <c r="BK21" i="29" s="1"/>
  <c r="BQ21" i="29"/>
  <c r="BS21" i="29"/>
  <c r="BZ21" i="29"/>
  <c r="CB21" i="29"/>
  <c r="CK21" i="29"/>
  <c r="CT21" i="29"/>
  <c r="DC21" i="29"/>
  <c r="DL21" i="29"/>
  <c r="DU21" i="29"/>
  <c r="ED21" i="29"/>
  <c r="EM21" i="29"/>
  <c r="EV21" i="29"/>
  <c r="FE21" i="29"/>
  <c r="FN21" i="29"/>
  <c r="FU21" i="29"/>
  <c r="FV21" i="29"/>
  <c r="GF21" i="29"/>
  <c r="GO21" i="29"/>
  <c r="GX21" i="29"/>
  <c r="HG21" i="29"/>
  <c r="HP21" i="29"/>
  <c r="HY21" i="29"/>
  <c r="IH21" i="29"/>
  <c r="IQ21" i="29"/>
  <c r="I22" i="29"/>
  <c r="R22" i="29"/>
  <c r="AA22" i="29"/>
  <c r="AJ22" i="29"/>
  <c r="AS22" i="29"/>
  <c r="BB22" i="29"/>
  <c r="BK22" i="29"/>
  <c r="BS22" i="29"/>
  <c r="CB22" i="29"/>
  <c r="CK22" i="29"/>
  <c r="CT22" i="29"/>
  <c r="DC22" i="29"/>
  <c r="DL22" i="29"/>
  <c r="DU22" i="29"/>
  <c r="ED22" i="29"/>
  <c r="EM22" i="29"/>
  <c r="EV22" i="29"/>
  <c r="FE22" i="29"/>
  <c r="FN22" i="29"/>
  <c r="GF22" i="29"/>
  <c r="GM22" i="29"/>
  <c r="GO22" i="29"/>
  <c r="GV22" i="29"/>
  <c r="GX22" i="29" s="1"/>
  <c r="HG22" i="29"/>
  <c r="HP22" i="29"/>
  <c r="HY22" i="29"/>
  <c r="IH22" i="29"/>
  <c r="IQ22" i="29"/>
  <c r="I23" i="29"/>
  <c r="R23" i="29"/>
  <c r="AA23" i="29"/>
  <c r="AJ23" i="29"/>
  <c r="AS23" i="29"/>
  <c r="BB23" i="29"/>
  <c r="BK23" i="29"/>
  <c r="BS23" i="29"/>
  <c r="CB23" i="29"/>
  <c r="CK23" i="29"/>
  <c r="CT23" i="29"/>
  <c r="DC23" i="29"/>
  <c r="DL23" i="29"/>
  <c r="GX23" i="29"/>
  <c r="HG23" i="29"/>
  <c r="HP23" i="29"/>
  <c r="HY23" i="29"/>
  <c r="IH23" i="29"/>
  <c r="IQ23" i="29"/>
  <c r="I24" i="29"/>
  <c r="R24" i="29"/>
  <c r="AA24" i="29"/>
  <c r="AJ24" i="29"/>
  <c r="AS24" i="29"/>
  <c r="BB24" i="29"/>
  <c r="BK24" i="29"/>
  <c r="BS24" i="29"/>
  <c r="CB24" i="29"/>
  <c r="GX24" i="29"/>
  <c r="HP24" i="29"/>
  <c r="HY24" i="29"/>
  <c r="IH24" i="29"/>
  <c r="IO24" i="29"/>
  <c r="IQ24" i="29"/>
  <c r="I25" i="29"/>
  <c r="R25" i="29"/>
  <c r="AA25" i="29"/>
  <c r="AJ25" i="29"/>
  <c r="AS25" i="29"/>
  <c r="HP25" i="29"/>
  <c r="HY25" i="29"/>
  <c r="I26" i="29"/>
  <c r="IF26" i="29"/>
  <c r="IH26" i="29" s="1"/>
  <c r="C28" i="29"/>
  <c r="D28" i="29"/>
  <c r="E28" i="29"/>
  <c r="F28" i="29"/>
  <c r="H28" i="29"/>
  <c r="L28" i="29"/>
  <c r="M28" i="29"/>
  <c r="N28" i="29"/>
  <c r="O28" i="29"/>
  <c r="Q28" i="29"/>
  <c r="U28" i="29"/>
  <c r="V28" i="29"/>
  <c r="W28" i="29"/>
  <c r="X28" i="29"/>
  <c r="Z28" i="29"/>
  <c r="AD28" i="29"/>
  <c r="AE28" i="29"/>
  <c r="AF28" i="29"/>
  <c r="AG28" i="29"/>
  <c r="AI28" i="29"/>
  <c r="AM28" i="29"/>
  <c r="AN28" i="29"/>
  <c r="AO28" i="29"/>
  <c r="AP28" i="29"/>
  <c r="AR28" i="29"/>
  <c r="AV28" i="29"/>
  <c r="AW28" i="29"/>
  <c r="AX28" i="29"/>
  <c r="AY28" i="29"/>
  <c r="BA28" i="29"/>
  <c r="BE28" i="29"/>
  <c r="BF28" i="29"/>
  <c r="BG28" i="29"/>
  <c r="BH28" i="29"/>
  <c r="BJ28" i="29"/>
  <c r="BM28" i="29"/>
  <c r="BN28" i="29"/>
  <c r="BO28" i="29"/>
  <c r="BP28" i="29"/>
  <c r="BR28" i="29"/>
  <c r="BV28" i="29"/>
  <c r="BW28" i="29"/>
  <c r="BX28" i="29"/>
  <c r="BY28" i="29"/>
  <c r="CA28" i="29"/>
  <c r="CE28" i="29"/>
  <c r="CF28" i="29"/>
  <c r="CG28" i="29"/>
  <c r="CH28" i="29"/>
  <c r="CJ28" i="29"/>
  <c r="CN28" i="29"/>
  <c r="CO28" i="29"/>
  <c r="CP28" i="29"/>
  <c r="CQ28" i="29"/>
  <c r="CS28" i="29"/>
  <c r="CW28" i="29"/>
  <c r="CX28" i="29"/>
  <c r="CY28" i="29"/>
  <c r="CZ28" i="29"/>
  <c r="DB28" i="29"/>
  <c r="DF28" i="29"/>
  <c r="DG28" i="29"/>
  <c r="DH28" i="29"/>
  <c r="DI28" i="29"/>
  <c r="DK28" i="29"/>
  <c r="DO28" i="29"/>
  <c r="DP28" i="29"/>
  <c r="DQ28" i="29"/>
  <c r="DR28" i="29"/>
  <c r="DT28" i="29"/>
  <c r="DX28" i="29"/>
  <c r="DY28" i="29"/>
  <c r="DZ28" i="29"/>
  <c r="EA28" i="29"/>
  <c r="EC28" i="29"/>
  <c r="EG28" i="29"/>
  <c r="EH28" i="29"/>
  <c r="EI28" i="29"/>
  <c r="EJ28" i="29"/>
  <c r="EL28" i="29"/>
  <c r="EP28" i="29"/>
  <c r="EQ28" i="29"/>
  <c r="ER28" i="29"/>
  <c r="ES28" i="29"/>
  <c r="ET28" i="29"/>
  <c r="EU28" i="29"/>
  <c r="EY28" i="29"/>
  <c r="EZ28" i="29"/>
  <c r="FA28" i="29"/>
  <c r="FB28" i="29"/>
  <c r="FC28" i="29"/>
  <c r="FD28" i="29"/>
  <c r="FH28" i="29"/>
  <c r="FI28" i="29"/>
  <c r="FJ28" i="29"/>
  <c r="FK28" i="29"/>
  <c r="FL28" i="29"/>
  <c r="FM28" i="29"/>
  <c r="FQ28" i="29"/>
  <c r="FR28" i="29"/>
  <c r="FS28" i="29"/>
  <c r="FT28" i="29"/>
  <c r="FV28" i="29"/>
  <c r="GA28" i="29"/>
  <c r="GB28" i="29"/>
  <c r="GC28" i="29"/>
  <c r="GD28" i="29"/>
  <c r="GE28" i="29"/>
  <c r="GJ28" i="29"/>
  <c r="GK28" i="29"/>
  <c r="GN28" i="29"/>
  <c r="GS28" i="29"/>
  <c r="GT28" i="29"/>
  <c r="GW28" i="29"/>
  <c r="HB28" i="29"/>
  <c r="HC28" i="29"/>
  <c r="HD28" i="29"/>
  <c r="HE28" i="29"/>
  <c r="HF28" i="29"/>
  <c r="HJ28" i="29"/>
  <c r="HK28" i="29"/>
  <c r="HL28" i="29"/>
  <c r="HO28" i="29"/>
  <c r="HS28" i="29"/>
  <c r="HT28" i="29"/>
  <c r="HU28" i="29"/>
  <c r="HX28" i="29"/>
  <c r="IB28" i="29"/>
  <c r="IC28" i="29"/>
  <c r="ID28" i="29"/>
  <c r="IE28" i="29"/>
  <c r="IG28" i="29"/>
  <c r="IK28" i="29"/>
  <c r="IL28" i="29"/>
  <c r="IM28" i="29"/>
  <c r="IP28" i="29"/>
  <c r="ES34" i="29"/>
  <c r="FC34" i="29"/>
  <c r="FL34" i="29"/>
  <c r="FU34" i="29"/>
  <c r="GM34" i="29"/>
  <c r="GV34" i="29"/>
  <c r="HE34" i="29"/>
  <c r="HN34" i="29"/>
  <c r="HW34" i="29"/>
  <c r="IF34" i="29"/>
  <c r="IO34" i="29"/>
  <c r="ES35" i="29"/>
  <c r="FC35" i="29"/>
  <c r="FL35" i="29"/>
  <c r="FU35" i="29"/>
  <c r="GM35" i="29"/>
  <c r="GV35" i="29"/>
  <c r="HE35" i="29"/>
  <c r="HN35" i="29"/>
  <c r="HW35" i="29"/>
  <c r="IF35" i="29"/>
  <c r="IO35" i="29"/>
  <c r="ES36" i="29"/>
  <c r="FC36" i="29"/>
  <c r="FL36" i="29"/>
  <c r="FU36" i="29"/>
  <c r="GM36" i="29"/>
  <c r="GV36" i="29"/>
  <c r="HE36" i="29"/>
  <c r="HN36" i="29"/>
  <c r="HW36" i="29"/>
  <c r="IF36" i="29"/>
  <c r="IO36" i="29"/>
  <c r="ES37" i="29"/>
  <c r="FC37" i="29"/>
  <c r="FL37" i="29"/>
  <c r="GM37" i="29"/>
  <c r="GV37" i="29"/>
  <c r="HE37" i="29"/>
  <c r="HN37" i="29"/>
  <c r="HW37" i="29"/>
  <c r="IF37" i="29"/>
  <c r="ES38" i="29"/>
  <c r="FU38" i="29"/>
  <c r="GM38" i="29"/>
  <c r="GV38" i="29"/>
  <c r="ES39" i="29"/>
  <c r="FC39" i="29"/>
  <c r="FL39" i="29"/>
  <c r="EP41" i="29"/>
  <c r="EQ41" i="29"/>
  <c r="ER41" i="29"/>
  <c r="EY41" i="29"/>
  <c r="EZ41" i="29"/>
  <c r="FA41" i="29"/>
  <c r="FB41" i="29"/>
  <c r="FH41" i="29"/>
  <c r="FI41" i="29"/>
  <c r="FJ41" i="29"/>
  <c r="FK41" i="29"/>
  <c r="FQ41" i="29"/>
  <c r="FR41" i="29"/>
  <c r="FS41" i="29"/>
  <c r="FT41" i="29"/>
  <c r="GI41" i="29"/>
  <c r="GJ41" i="29"/>
  <c r="GK41" i="29"/>
  <c r="GL41" i="29"/>
  <c r="GR41" i="29"/>
  <c r="GS41" i="29"/>
  <c r="GT41" i="29"/>
  <c r="GU41" i="29"/>
  <c r="HA41" i="29"/>
  <c r="HB41" i="29"/>
  <c r="HC41" i="29"/>
  <c r="HD41" i="29"/>
  <c r="HJ41" i="29"/>
  <c r="HK41" i="29"/>
  <c r="HL41" i="29"/>
  <c r="HM41" i="29"/>
  <c r="HS41" i="29"/>
  <c r="HT41" i="29"/>
  <c r="HU41" i="29"/>
  <c r="HV41" i="29"/>
  <c r="IB41" i="29"/>
  <c r="IC41" i="29"/>
  <c r="ID41" i="29"/>
  <c r="IE41" i="29"/>
  <c r="IK41" i="29"/>
  <c r="IL41" i="29"/>
  <c r="IM41" i="29"/>
  <c r="IN41" i="29"/>
  <c r="BK51" i="29"/>
  <c r="BY51" i="29"/>
  <c r="CB51" i="29" s="1"/>
  <c r="BZ51" i="29"/>
  <c r="CI51" i="29"/>
  <c r="CK51" i="29" s="1"/>
  <c r="CO51" i="29"/>
  <c r="CT51" i="29"/>
  <c r="DZ51" i="29"/>
  <c r="EA51" i="29"/>
  <c r="EQ51" i="29"/>
  <c r="ER51" i="29"/>
  <c r="ER72" i="29" s="1"/>
  <c r="ES51" i="29"/>
  <c r="EZ51" i="29"/>
  <c r="EZ72" i="29" s="1"/>
  <c r="FA51" i="29"/>
  <c r="FA72" i="29" s="1"/>
  <c r="FB51" i="29"/>
  <c r="FJ51" i="29"/>
  <c r="FN51" i="29"/>
  <c r="GA51" i="29"/>
  <c r="GF51" i="29" s="1"/>
  <c r="GB51" i="29"/>
  <c r="GC51" i="29"/>
  <c r="GD51" i="29"/>
  <c r="GJ51" i="29"/>
  <c r="GL51" i="29"/>
  <c r="GU51" i="29"/>
  <c r="GX51" i="29"/>
  <c r="HT51" i="29"/>
  <c r="HU51" i="29"/>
  <c r="HV51" i="29"/>
  <c r="HW51" i="29"/>
  <c r="IC51" i="29"/>
  <c r="IH51" i="29" s="1"/>
  <c r="ID51" i="29"/>
  <c r="IE51" i="29"/>
  <c r="IF51" i="29"/>
  <c r="I52" i="29"/>
  <c r="R52" i="29"/>
  <c r="AA52" i="29"/>
  <c r="AJ52" i="29"/>
  <c r="AS52" i="29"/>
  <c r="BB52" i="29"/>
  <c r="BH52" i="29"/>
  <c r="BH72" i="29" s="1"/>
  <c r="BK52" i="29"/>
  <c r="BP52" i="29"/>
  <c r="BP72" i="29" s="1"/>
  <c r="BS52" i="29"/>
  <c r="CB52" i="29"/>
  <c r="CK52" i="29"/>
  <c r="CO52" i="29"/>
  <c r="CT52" i="29"/>
  <c r="CX52" i="29"/>
  <c r="DG52" i="29"/>
  <c r="DH52" i="29"/>
  <c r="DI52" i="29"/>
  <c r="DP52" i="29"/>
  <c r="DP72" i="29" s="1"/>
  <c r="DQ52" i="29"/>
  <c r="DQ72" i="29" s="1"/>
  <c r="DR52" i="29"/>
  <c r="DU52" i="29"/>
  <c r="DZ52" i="29"/>
  <c r="EA52" i="29"/>
  <c r="ED52" i="29"/>
  <c r="EH52" i="29"/>
  <c r="EI52" i="29"/>
  <c r="EJ52" i="29"/>
  <c r="ER52" i="29"/>
  <c r="ES52" i="29"/>
  <c r="ET52" i="29"/>
  <c r="EZ52" i="29"/>
  <c r="FA52" i="29"/>
  <c r="FB52" i="29"/>
  <c r="FC52" i="29"/>
  <c r="FI52" i="29"/>
  <c r="FJ52" i="29"/>
  <c r="FK52" i="29"/>
  <c r="FK72" i="29" s="1"/>
  <c r="FL52" i="29"/>
  <c r="FR52" i="29"/>
  <c r="FR72" i="29" s="1"/>
  <c r="FS52" i="29"/>
  <c r="FT52" i="29"/>
  <c r="FU52" i="29"/>
  <c r="GA52" i="29"/>
  <c r="GB52" i="29"/>
  <c r="GC52" i="29"/>
  <c r="GD52" i="29"/>
  <c r="GF52" i="29"/>
  <c r="GK52" i="29"/>
  <c r="GL52" i="29"/>
  <c r="GM52" i="29"/>
  <c r="GT52" i="29"/>
  <c r="GU52" i="29"/>
  <c r="GV52" i="29"/>
  <c r="HC52" i="29"/>
  <c r="HD52" i="29"/>
  <c r="HE52" i="29"/>
  <c r="HK52" i="29"/>
  <c r="HL52" i="29"/>
  <c r="HM52" i="29"/>
  <c r="HN52" i="29"/>
  <c r="HP52" i="29"/>
  <c r="HT52" i="29"/>
  <c r="HU52" i="29"/>
  <c r="HV52" i="29"/>
  <c r="HW52" i="29"/>
  <c r="IC52" i="29"/>
  <c r="ID52" i="29"/>
  <c r="IE52" i="29"/>
  <c r="IF52" i="29"/>
  <c r="IM52" i="29"/>
  <c r="IN52" i="29"/>
  <c r="IO52" i="29"/>
  <c r="I53" i="29"/>
  <c r="R53" i="29"/>
  <c r="AA53" i="29"/>
  <c r="AG53" i="29"/>
  <c r="AJ53" i="29" s="1"/>
  <c r="AP53" i="29"/>
  <c r="AS53" i="29" s="1"/>
  <c r="AY53" i="29"/>
  <c r="BK53" i="29"/>
  <c r="BS53" i="29"/>
  <c r="CB53" i="29"/>
  <c r="CK53" i="29"/>
  <c r="CT53" i="29"/>
  <c r="CY53" i="29"/>
  <c r="CY72" i="29" s="1"/>
  <c r="DH53" i="29"/>
  <c r="DI53" i="29"/>
  <c r="DQ53" i="29"/>
  <c r="DR53" i="29"/>
  <c r="DU53" i="29"/>
  <c r="DZ53" i="29"/>
  <c r="EA53" i="29"/>
  <c r="EB53" i="29"/>
  <c r="ED53" i="29" s="1"/>
  <c r="EI53" i="29"/>
  <c r="EJ53" i="29"/>
  <c r="EK53" i="29"/>
  <c r="ER53" i="29"/>
  <c r="ES53" i="29"/>
  <c r="ET53" i="29"/>
  <c r="FA53" i="29"/>
  <c r="FB53" i="29"/>
  <c r="FC53" i="29"/>
  <c r="FJ53" i="29"/>
  <c r="FK53" i="29"/>
  <c r="FL53" i="29"/>
  <c r="FS53" i="29"/>
  <c r="FT53" i="29"/>
  <c r="FU53" i="29"/>
  <c r="GB53" i="29"/>
  <c r="GF53" i="29" s="1"/>
  <c r="GC53" i="29"/>
  <c r="GD53" i="29"/>
  <c r="GK53" i="29"/>
  <c r="GL53" i="29"/>
  <c r="GM53" i="29"/>
  <c r="GO53" i="29"/>
  <c r="GT53" i="29"/>
  <c r="GU53" i="29"/>
  <c r="GV53" i="29"/>
  <c r="HC53" i="29"/>
  <c r="HD53" i="29"/>
  <c r="HE53" i="29"/>
  <c r="HK53" i="29"/>
  <c r="HP53" i="29" s="1"/>
  <c r="HL53" i="29"/>
  <c r="HM53" i="29"/>
  <c r="HN53" i="29"/>
  <c r="HU53" i="29"/>
  <c r="HV53" i="29"/>
  <c r="HW53" i="29"/>
  <c r="ID53" i="29"/>
  <c r="IE53" i="29"/>
  <c r="IF53" i="29"/>
  <c r="IM53" i="29"/>
  <c r="IN53" i="29"/>
  <c r="IO53" i="29"/>
  <c r="F54" i="29"/>
  <c r="I54" i="29" s="1"/>
  <c r="O54" i="29"/>
  <c r="O72" i="29" s="1"/>
  <c r="R54" i="29"/>
  <c r="X54" i="29"/>
  <c r="AA54" i="29" s="1"/>
  <c r="AJ54" i="29"/>
  <c r="AS54" i="29"/>
  <c r="BB54" i="29"/>
  <c r="BK54" i="29"/>
  <c r="BS54" i="29"/>
  <c r="CB54" i="29"/>
  <c r="CK54" i="29"/>
  <c r="CT54" i="29"/>
  <c r="CZ54" i="29"/>
  <c r="CZ72" i="29" s="1"/>
  <c r="DC54" i="29"/>
  <c r="DH54" i="29"/>
  <c r="DI54" i="29"/>
  <c r="DJ54" i="29"/>
  <c r="DQ54" i="29"/>
  <c r="DR54" i="29"/>
  <c r="DS54" i="29"/>
  <c r="DZ54" i="29"/>
  <c r="EA54" i="29"/>
  <c r="EB54" i="29"/>
  <c r="EI54" i="29"/>
  <c r="EJ54" i="29"/>
  <c r="EK54" i="29"/>
  <c r="ES54" i="29"/>
  <c r="ET54" i="29"/>
  <c r="FA54" i="29"/>
  <c r="FB54" i="29"/>
  <c r="FC54" i="29"/>
  <c r="FJ54" i="29"/>
  <c r="FK54" i="29"/>
  <c r="FL54" i="29"/>
  <c r="FS54" i="29"/>
  <c r="FT54" i="29"/>
  <c r="FU54" i="29"/>
  <c r="GB54" i="29"/>
  <c r="GC54" i="29"/>
  <c r="GD54" i="29"/>
  <c r="GK54" i="29"/>
  <c r="GO54" i="29" s="1"/>
  <c r="GL54" i="29"/>
  <c r="GM54" i="29"/>
  <c r="GT54" i="29"/>
  <c r="GU54" i="29"/>
  <c r="GX54" i="29" s="1"/>
  <c r="GV54" i="29"/>
  <c r="HC54" i="29"/>
  <c r="HD54" i="29"/>
  <c r="HE54" i="29"/>
  <c r="HL54" i="29"/>
  <c r="HM54" i="29"/>
  <c r="HN54" i="29"/>
  <c r="HU54" i="29"/>
  <c r="HY54" i="29" s="1"/>
  <c r="HV54" i="29"/>
  <c r="HW54" i="29"/>
  <c r="HX54" i="29"/>
  <c r="ID54" i="29"/>
  <c r="IE54" i="29"/>
  <c r="IF54" i="29"/>
  <c r="IG54" i="29"/>
  <c r="IM54" i="29"/>
  <c r="IN54" i="29"/>
  <c r="IO54" i="29"/>
  <c r="IP54" i="29"/>
  <c r="I55" i="29"/>
  <c r="R55" i="29"/>
  <c r="AA55" i="29"/>
  <c r="AJ55" i="29"/>
  <c r="AS55" i="29"/>
  <c r="BB55" i="29"/>
  <c r="BK55" i="29"/>
  <c r="BS55" i="29"/>
  <c r="CB55" i="29"/>
  <c r="CK55" i="29"/>
  <c r="CT55" i="29"/>
  <c r="CZ55" i="29"/>
  <c r="DC55" i="29"/>
  <c r="DI55" i="29"/>
  <c r="DJ55" i="29"/>
  <c r="DR55" i="29"/>
  <c r="DS55" i="29"/>
  <c r="EA55" i="29"/>
  <c r="EB55" i="29"/>
  <c r="EJ55" i="29"/>
  <c r="EK55" i="29"/>
  <c r="ES55" i="29"/>
  <c r="ET55" i="29"/>
  <c r="EV55" i="29"/>
  <c r="FB55" i="29"/>
  <c r="FC55" i="29"/>
  <c r="FK55" i="29"/>
  <c r="FL55" i="29"/>
  <c r="FT55" i="29"/>
  <c r="FU55" i="29"/>
  <c r="GC55" i="29"/>
  <c r="GD55" i="29"/>
  <c r="GE55" i="29"/>
  <c r="GL55" i="29"/>
  <c r="GM55" i="29"/>
  <c r="GN55" i="29"/>
  <c r="GU55" i="29"/>
  <c r="GV55" i="29"/>
  <c r="GW55" i="29"/>
  <c r="HD55" i="29"/>
  <c r="HE55" i="29"/>
  <c r="HF55" i="29"/>
  <c r="HL55" i="29"/>
  <c r="HM55" i="29"/>
  <c r="HN55" i="29"/>
  <c r="HO55" i="29"/>
  <c r="HV55" i="29"/>
  <c r="HW55" i="29"/>
  <c r="HY55" i="29" s="1"/>
  <c r="HX55" i="29"/>
  <c r="IE55" i="29"/>
  <c r="IF55" i="29"/>
  <c r="IG55" i="29"/>
  <c r="IN55" i="29"/>
  <c r="IO55" i="29"/>
  <c r="IP55" i="29"/>
  <c r="IQ55" i="29"/>
  <c r="I56" i="29"/>
  <c r="R56" i="29"/>
  <c r="AA56" i="29"/>
  <c r="AJ56" i="29"/>
  <c r="AS56" i="29"/>
  <c r="BB56" i="29"/>
  <c r="BK56" i="29"/>
  <c r="BS56" i="29"/>
  <c r="CB56" i="29"/>
  <c r="CK56" i="29"/>
  <c r="CT56" i="29"/>
  <c r="DC56" i="29"/>
  <c r="DI56" i="29"/>
  <c r="DJ56" i="29"/>
  <c r="DL56" i="29"/>
  <c r="DR56" i="29"/>
  <c r="DU56" i="29" s="1"/>
  <c r="DS56" i="29"/>
  <c r="EA56" i="29"/>
  <c r="ED56" i="29" s="1"/>
  <c r="EB56" i="29"/>
  <c r="EJ56" i="29"/>
  <c r="EK56" i="29"/>
  <c r="ET56" i="29"/>
  <c r="EV56" i="29" s="1"/>
  <c r="FB56" i="29"/>
  <c r="FC56" i="29"/>
  <c r="FE56" i="29"/>
  <c r="FK56" i="29"/>
  <c r="FL56" i="29"/>
  <c r="FN56" i="29"/>
  <c r="FT56" i="29"/>
  <c r="FU56" i="29"/>
  <c r="FV56" i="29"/>
  <c r="GD56" i="29"/>
  <c r="GE56" i="29"/>
  <c r="GM56" i="29"/>
  <c r="GN56" i="29"/>
  <c r="GV56" i="29"/>
  <c r="GW56" i="29"/>
  <c r="HD56" i="29"/>
  <c r="HE56" i="29"/>
  <c r="HF56" i="29"/>
  <c r="HM56" i="29"/>
  <c r="HN56" i="29"/>
  <c r="HO56" i="29"/>
  <c r="HV56" i="29"/>
  <c r="HW56" i="29"/>
  <c r="HY56" i="29"/>
  <c r="IE56" i="29"/>
  <c r="IF56" i="29"/>
  <c r="IN56" i="29"/>
  <c r="IO56" i="29"/>
  <c r="IQ56" i="29" s="1"/>
  <c r="I57" i="29"/>
  <c r="R57" i="29"/>
  <c r="AA57" i="29"/>
  <c r="AJ57" i="29"/>
  <c r="AS57" i="29"/>
  <c r="BB57" i="29"/>
  <c r="BK57" i="29"/>
  <c r="BS57" i="29"/>
  <c r="CB57" i="29"/>
  <c r="CK57" i="29"/>
  <c r="CT57" i="29"/>
  <c r="DC57" i="29"/>
  <c r="DL57" i="29"/>
  <c r="DU57" i="29"/>
  <c r="EB57" i="29"/>
  <c r="ED57" i="29" s="1"/>
  <c r="EK57" i="29"/>
  <c r="EM57" i="29" s="1"/>
  <c r="ET57" i="29"/>
  <c r="EV57" i="29" s="1"/>
  <c r="FC57" i="29"/>
  <c r="FE57" i="29"/>
  <c r="FL57" i="29"/>
  <c r="FN57" i="29" s="1"/>
  <c r="FU57" i="29"/>
  <c r="FW57" i="29" s="1"/>
  <c r="FV57" i="29"/>
  <c r="GD57" i="29"/>
  <c r="GF57" i="29" s="1"/>
  <c r="GM57" i="29"/>
  <c r="GO57" i="29" s="1"/>
  <c r="GV57" i="29"/>
  <c r="GX57" i="29" s="1"/>
  <c r="HE57" i="29"/>
  <c r="HG57" i="29" s="1"/>
  <c r="HN57" i="29"/>
  <c r="HP57" i="29"/>
  <c r="HV57" i="29"/>
  <c r="HW57" i="29"/>
  <c r="HX57" i="29"/>
  <c r="HY57" i="29" s="1"/>
  <c r="IE57" i="29"/>
  <c r="IF57" i="29"/>
  <c r="IG57" i="29"/>
  <c r="IN57" i="29"/>
  <c r="IO57" i="29"/>
  <c r="IP57" i="29"/>
  <c r="I58" i="29"/>
  <c r="R58" i="29"/>
  <c r="AA58" i="29"/>
  <c r="AJ58" i="29"/>
  <c r="AS58" i="29"/>
  <c r="BB58" i="29"/>
  <c r="BK58" i="29"/>
  <c r="BS58" i="29"/>
  <c r="BZ58" i="29"/>
  <c r="CB58" i="29"/>
  <c r="CI58" i="29"/>
  <c r="CR58" i="29"/>
  <c r="CT58" i="29"/>
  <c r="DA58" i="29"/>
  <c r="DC58" i="29" s="1"/>
  <c r="DJ58" i="29"/>
  <c r="DL58" i="29" s="1"/>
  <c r="DS58" i="29"/>
  <c r="DU58" i="29"/>
  <c r="EB58" i="29"/>
  <c r="ED58" i="29"/>
  <c r="EK58" i="29"/>
  <c r="EM58" i="29"/>
  <c r="EV58" i="29"/>
  <c r="FE58" i="29"/>
  <c r="FN58" i="29"/>
  <c r="FU58" i="29"/>
  <c r="FW58" i="29" s="1"/>
  <c r="GD58" i="29"/>
  <c r="GE58" i="29"/>
  <c r="GM58" i="29"/>
  <c r="GN58" i="29"/>
  <c r="GO58" i="29"/>
  <c r="GU58" i="29"/>
  <c r="GV58" i="29"/>
  <c r="GW58" i="29"/>
  <c r="HD58" i="29"/>
  <c r="HE58" i="29"/>
  <c r="HF58" i="29"/>
  <c r="HM58" i="29"/>
  <c r="HN58" i="29"/>
  <c r="HO58" i="29"/>
  <c r="HV58" i="29"/>
  <c r="HY58" i="29" s="1"/>
  <c r="HW58" i="29"/>
  <c r="IE58" i="29"/>
  <c r="IF58" i="29"/>
  <c r="IH58" i="29"/>
  <c r="IN58" i="29"/>
  <c r="IO58" i="29"/>
  <c r="IQ58" i="29"/>
  <c r="I59" i="29"/>
  <c r="R59" i="29"/>
  <c r="AA59" i="29"/>
  <c r="AJ59" i="29"/>
  <c r="AS59" i="29"/>
  <c r="BB59" i="29"/>
  <c r="BI59" i="29"/>
  <c r="BK59" i="29" s="1"/>
  <c r="BQ59" i="29"/>
  <c r="BS59" i="29"/>
  <c r="BZ59" i="29"/>
  <c r="CB59" i="29" s="1"/>
  <c r="CI59" i="29"/>
  <c r="CK59" i="29"/>
  <c r="CR59" i="29"/>
  <c r="CT59" i="29" s="1"/>
  <c r="DA59" i="29"/>
  <c r="DC59" i="29"/>
  <c r="DJ59" i="29"/>
  <c r="DL59" i="29" s="1"/>
  <c r="DS59" i="29"/>
  <c r="DU59" i="29" s="1"/>
  <c r="ED59" i="29"/>
  <c r="EM59" i="29"/>
  <c r="ET59" i="29"/>
  <c r="EV59" i="29" s="1"/>
  <c r="FC59" i="29"/>
  <c r="FE59" i="29"/>
  <c r="FL59" i="29"/>
  <c r="FN59" i="29"/>
  <c r="FU59" i="29"/>
  <c r="FV59" i="29"/>
  <c r="FW59" i="29"/>
  <c r="GD59" i="29"/>
  <c r="GF59" i="29"/>
  <c r="GM59" i="29"/>
  <c r="GO59" i="29" s="1"/>
  <c r="GV59" i="29"/>
  <c r="GX59" i="29"/>
  <c r="HE59" i="29"/>
  <c r="HG59" i="29" s="1"/>
  <c r="HN59" i="29"/>
  <c r="HP59" i="29"/>
  <c r="HW59" i="29"/>
  <c r="HY59" i="29" s="1"/>
  <c r="IF59" i="29"/>
  <c r="IH59" i="29"/>
  <c r="IO59" i="29"/>
  <c r="IQ59" i="29"/>
  <c r="I60" i="29"/>
  <c r="R60" i="29"/>
  <c r="AA60" i="29"/>
  <c r="AH60" i="29"/>
  <c r="AQ60" i="29"/>
  <c r="AS60" i="29"/>
  <c r="AZ60" i="29"/>
  <c r="BB60" i="29" s="1"/>
  <c r="BI60" i="29"/>
  <c r="BK60" i="29"/>
  <c r="BQ60" i="29"/>
  <c r="BS60" i="29"/>
  <c r="BZ60" i="29"/>
  <c r="CB60" i="29"/>
  <c r="CI60" i="29"/>
  <c r="CK60" i="29" s="1"/>
  <c r="CR60" i="29"/>
  <c r="CT60" i="29" s="1"/>
  <c r="DA60" i="29"/>
  <c r="DC60" i="29" s="1"/>
  <c r="DL60" i="29"/>
  <c r="DU60" i="29"/>
  <c r="EB60" i="29"/>
  <c r="ED60" i="29"/>
  <c r="EK60" i="29"/>
  <c r="EM60" i="29"/>
  <c r="ET60" i="29"/>
  <c r="EV60" i="29" s="1"/>
  <c r="FC60" i="29"/>
  <c r="FE60" i="29"/>
  <c r="FL60" i="29"/>
  <c r="FN60" i="29" s="1"/>
  <c r="FU60" i="29"/>
  <c r="FW60" i="29"/>
  <c r="GD60" i="29"/>
  <c r="GF60" i="29"/>
  <c r="GM60" i="29"/>
  <c r="GO60" i="29" s="1"/>
  <c r="GV60" i="29"/>
  <c r="GX60" i="29" s="1"/>
  <c r="HE60" i="29"/>
  <c r="HG60" i="29" s="1"/>
  <c r="HN60" i="29"/>
  <c r="HP60" i="29" s="1"/>
  <c r="HW60" i="29"/>
  <c r="HX60" i="29"/>
  <c r="IF60" i="29"/>
  <c r="IG60" i="29"/>
  <c r="IH60" i="29"/>
  <c r="IO60" i="29"/>
  <c r="IP60" i="29"/>
  <c r="IP72" i="29" s="1"/>
  <c r="IQ60" i="29"/>
  <c r="G61" i="29"/>
  <c r="I61" i="29" s="1"/>
  <c r="P61" i="29"/>
  <c r="Y61" i="29"/>
  <c r="AA61" i="29"/>
  <c r="AH61" i="29"/>
  <c r="AJ61" i="29" s="1"/>
  <c r="AQ61" i="29"/>
  <c r="AS61" i="29"/>
  <c r="AZ61" i="29"/>
  <c r="BB61" i="29" s="1"/>
  <c r="BI61" i="29"/>
  <c r="BK61" i="29"/>
  <c r="BQ61" i="29"/>
  <c r="BS61" i="29" s="1"/>
  <c r="BZ61" i="29"/>
  <c r="CB61" i="29" s="1"/>
  <c r="CI61" i="29"/>
  <c r="CK61" i="29"/>
  <c r="CR61" i="29"/>
  <c r="CT61" i="29" s="1"/>
  <c r="DA61" i="29"/>
  <c r="DC61" i="29"/>
  <c r="DJ61" i="29"/>
  <c r="DL61" i="29" s="1"/>
  <c r="DS61" i="29"/>
  <c r="DU61" i="29"/>
  <c r="EB61" i="29"/>
  <c r="ED61" i="29" s="1"/>
  <c r="EK61" i="29"/>
  <c r="EM61" i="29" s="1"/>
  <c r="EV61" i="29"/>
  <c r="FE61" i="29"/>
  <c r="FN61" i="29"/>
  <c r="FU61" i="29"/>
  <c r="FW61" i="29"/>
  <c r="GD61" i="29"/>
  <c r="GE61" i="29"/>
  <c r="GM61" i="29"/>
  <c r="GN61" i="29"/>
  <c r="GO61" i="29"/>
  <c r="GV61" i="29"/>
  <c r="GW61" i="29"/>
  <c r="HE61" i="29"/>
  <c r="HF61" i="29"/>
  <c r="HN61" i="29"/>
  <c r="HO61" i="29"/>
  <c r="HW61" i="29"/>
  <c r="HY61" i="29" s="1"/>
  <c r="IF61" i="29"/>
  <c r="IH61" i="29"/>
  <c r="IQ61" i="29"/>
  <c r="G62" i="29"/>
  <c r="I62" i="29" s="1"/>
  <c r="P62" i="29"/>
  <c r="R62" i="29" s="1"/>
  <c r="Y62" i="29"/>
  <c r="AA62" i="29" s="1"/>
  <c r="AJ62" i="29"/>
  <c r="AQ62" i="29"/>
  <c r="AS62" i="29"/>
  <c r="AZ62" i="29"/>
  <c r="BB62" i="29" s="1"/>
  <c r="BK62" i="29"/>
  <c r="BS62" i="29"/>
  <c r="CB62" i="29"/>
  <c r="CK62" i="29"/>
  <c r="CT62" i="29"/>
  <c r="DA62" i="29"/>
  <c r="DC62" i="29" s="1"/>
  <c r="DJ62" i="29"/>
  <c r="DL62" i="29" s="1"/>
  <c r="DS62" i="29"/>
  <c r="DU62" i="29"/>
  <c r="ED62" i="29"/>
  <c r="EM62" i="29"/>
  <c r="ET62" i="29"/>
  <c r="EU62" i="29"/>
  <c r="FC62" i="29"/>
  <c r="FD62" i="29"/>
  <c r="FD72" i="29" s="1"/>
  <c r="FL62" i="29"/>
  <c r="FM62" i="29"/>
  <c r="FM72" i="29" s="1"/>
  <c r="FN62" i="29"/>
  <c r="FU62" i="29"/>
  <c r="FW62" i="29" s="1"/>
  <c r="FV62" i="29"/>
  <c r="GF62" i="29"/>
  <c r="GO62" i="29"/>
  <c r="GX62" i="29"/>
  <c r="HG62" i="29"/>
  <c r="HN62" i="29"/>
  <c r="HP62" i="29" s="1"/>
  <c r="HW62" i="29"/>
  <c r="HY62" i="29"/>
  <c r="IF62" i="29"/>
  <c r="IH62" i="29"/>
  <c r="IO62" i="29"/>
  <c r="IQ62" i="29" s="1"/>
  <c r="I63" i="29"/>
  <c r="R63" i="29"/>
  <c r="AA63" i="29"/>
  <c r="AJ63" i="29"/>
  <c r="AS63" i="29"/>
  <c r="BB63" i="29"/>
  <c r="BK63" i="29"/>
  <c r="BS63" i="29"/>
  <c r="BZ63" i="29"/>
  <c r="CB63" i="29" s="1"/>
  <c r="CI63" i="29"/>
  <c r="CK63" i="29"/>
  <c r="CR63" i="29"/>
  <c r="CT63" i="29" s="1"/>
  <c r="DA63" i="29"/>
  <c r="DC63" i="29"/>
  <c r="DL63" i="29"/>
  <c r="DU63" i="29"/>
  <c r="EB63" i="29"/>
  <c r="ED63" i="29" s="1"/>
  <c r="EC63" i="29"/>
  <c r="EK63" i="29"/>
  <c r="EL63" i="29"/>
  <c r="EL72" i="29" s="1"/>
  <c r="EV63" i="29"/>
  <c r="FE63" i="29"/>
  <c r="FN63" i="29"/>
  <c r="FW63" i="29"/>
  <c r="GD63" i="29"/>
  <c r="GF63" i="29"/>
  <c r="GM63" i="29"/>
  <c r="GO63" i="29"/>
  <c r="GV63" i="29"/>
  <c r="GX63" i="29" s="1"/>
  <c r="HE63" i="29"/>
  <c r="HG63" i="29" s="1"/>
  <c r="HN63" i="29"/>
  <c r="HP63" i="29" s="1"/>
  <c r="HW63" i="29"/>
  <c r="HY63" i="29"/>
  <c r="IF63" i="29"/>
  <c r="IH63" i="29" s="1"/>
  <c r="IO63" i="29"/>
  <c r="IQ63" i="29"/>
  <c r="I64" i="29"/>
  <c r="R64" i="29"/>
  <c r="AA64" i="29"/>
  <c r="AJ64" i="29"/>
  <c r="AS64" i="29"/>
  <c r="BB64" i="29"/>
  <c r="BI64" i="29"/>
  <c r="BK64" i="29" s="1"/>
  <c r="BS64" i="29"/>
  <c r="BZ64" i="29"/>
  <c r="CB64" i="29" s="1"/>
  <c r="CI64" i="29"/>
  <c r="CK64" i="29" s="1"/>
  <c r="CR64" i="29"/>
  <c r="CT64" i="29" s="1"/>
  <c r="DA64" i="29"/>
  <c r="DB64" i="29"/>
  <c r="DB72" i="29" s="1"/>
  <c r="DK64" i="29"/>
  <c r="DK72" i="29" s="1"/>
  <c r="DL64" i="29"/>
  <c r="DS64" i="29"/>
  <c r="DT64" i="29"/>
  <c r="DT72" i="29" s="1"/>
  <c r="ED64" i="29"/>
  <c r="EM64" i="29"/>
  <c r="ET64" i="29"/>
  <c r="EV64" i="29" s="1"/>
  <c r="FC64" i="29"/>
  <c r="FE64" i="29" s="1"/>
  <c r="FL64" i="29"/>
  <c r="FN64" i="29" s="1"/>
  <c r="FU64" i="29"/>
  <c r="FW64" i="29" s="1"/>
  <c r="GD64" i="29"/>
  <c r="GF64" i="29" s="1"/>
  <c r="GM64" i="29"/>
  <c r="GO64" i="29" s="1"/>
  <c r="GV64" i="29"/>
  <c r="GX64" i="29"/>
  <c r="HE64" i="29"/>
  <c r="HG64" i="29" s="1"/>
  <c r="HN64" i="29"/>
  <c r="HP64" i="29" s="1"/>
  <c r="HW64" i="29"/>
  <c r="HY64" i="29" s="1"/>
  <c r="IF64" i="29"/>
  <c r="IH64" i="29" s="1"/>
  <c r="IO64" i="29"/>
  <c r="IQ64" i="29" s="1"/>
  <c r="I65" i="29"/>
  <c r="R65" i="29"/>
  <c r="AA65" i="29"/>
  <c r="AH65" i="29"/>
  <c r="AJ65" i="29" s="1"/>
  <c r="AS65" i="29"/>
  <c r="AZ65" i="29"/>
  <c r="BB65" i="29"/>
  <c r="BI65" i="29"/>
  <c r="BK65" i="29" s="1"/>
  <c r="BQ65" i="29"/>
  <c r="BS65" i="29"/>
  <c r="CB65" i="29"/>
  <c r="CK65" i="29"/>
  <c r="CT65" i="29"/>
  <c r="DC65" i="29"/>
  <c r="DL65" i="29"/>
  <c r="DU65" i="29"/>
  <c r="EB65" i="29"/>
  <c r="ED65" i="29" s="1"/>
  <c r="EK65" i="29"/>
  <c r="EM65" i="29"/>
  <c r="EV65" i="29"/>
  <c r="FE65" i="29"/>
  <c r="FN65" i="29"/>
  <c r="FU65" i="29"/>
  <c r="FW65" i="29"/>
  <c r="GD65" i="29"/>
  <c r="GF65" i="29" s="1"/>
  <c r="GM65" i="29"/>
  <c r="GO65" i="29"/>
  <c r="GV65" i="29"/>
  <c r="GX65" i="29" s="1"/>
  <c r="HE65" i="29"/>
  <c r="HG65" i="29"/>
  <c r="HN65" i="29"/>
  <c r="HP65" i="29" s="1"/>
  <c r="HW65" i="29"/>
  <c r="HY65" i="29"/>
  <c r="IF65" i="29"/>
  <c r="IH65" i="29" s="1"/>
  <c r="IO65" i="29"/>
  <c r="IQ65" i="29" s="1"/>
  <c r="G66" i="29"/>
  <c r="I66" i="29"/>
  <c r="P66" i="29"/>
  <c r="R66" i="29" s="1"/>
  <c r="AA66" i="29"/>
  <c r="AH66" i="29"/>
  <c r="AJ66" i="29" s="1"/>
  <c r="AQ66" i="29"/>
  <c r="AS66" i="29" s="1"/>
  <c r="AZ66" i="29"/>
  <c r="BB66" i="29"/>
  <c r="BK66" i="29"/>
  <c r="BQ66" i="29"/>
  <c r="BS66" i="29" s="1"/>
  <c r="BZ66" i="29"/>
  <c r="CB66" i="29"/>
  <c r="CK66" i="29"/>
  <c r="CR66" i="29"/>
  <c r="CT66" i="29" s="1"/>
  <c r="DA66" i="29"/>
  <c r="DC66" i="29" s="1"/>
  <c r="DJ66" i="29"/>
  <c r="DL66" i="29" s="1"/>
  <c r="DS66" i="29"/>
  <c r="DU66" i="29" s="1"/>
  <c r="EB66" i="29"/>
  <c r="ED66" i="29" s="1"/>
  <c r="EM66" i="29"/>
  <c r="ET66" i="29"/>
  <c r="EV66" i="29" s="1"/>
  <c r="FC66" i="29"/>
  <c r="FE66" i="29" s="1"/>
  <c r="FL66" i="29"/>
  <c r="FN66" i="29" s="1"/>
  <c r="FU66" i="29"/>
  <c r="FW66" i="29"/>
  <c r="GF66" i="29"/>
  <c r="GM66" i="29"/>
  <c r="GO66" i="29"/>
  <c r="GV66" i="29"/>
  <c r="GX66" i="29" s="1"/>
  <c r="HE66" i="29"/>
  <c r="HG66" i="29" s="1"/>
  <c r="HN66" i="29"/>
  <c r="HP66" i="29"/>
  <c r="HW66" i="29"/>
  <c r="HY66" i="29" s="1"/>
  <c r="IF66" i="29"/>
  <c r="IH66" i="29"/>
  <c r="IO66" i="29"/>
  <c r="IQ66" i="29" s="1"/>
  <c r="I67" i="29"/>
  <c r="R67" i="29"/>
  <c r="Y67" i="29"/>
  <c r="AA67" i="29" s="1"/>
  <c r="AJ67" i="29"/>
  <c r="AQ67" i="29"/>
  <c r="AS67" i="29" s="1"/>
  <c r="BB67" i="29"/>
  <c r="BK67" i="29"/>
  <c r="BS67" i="29"/>
  <c r="CB67" i="29"/>
  <c r="CI67" i="29"/>
  <c r="CK67" i="29" s="1"/>
  <c r="CR67" i="29"/>
  <c r="CT67" i="29" s="1"/>
  <c r="DA67" i="29"/>
  <c r="DC67" i="29"/>
  <c r="DL67" i="29"/>
  <c r="DU67" i="29"/>
  <c r="ED67" i="29"/>
  <c r="EM67" i="29"/>
  <c r="EV67" i="29"/>
  <c r="FE67" i="29"/>
  <c r="FN67" i="29"/>
  <c r="FW67" i="29"/>
  <c r="GF67" i="29"/>
  <c r="GO67" i="29"/>
  <c r="GX67" i="29"/>
  <c r="HG67" i="29"/>
  <c r="HN67" i="29"/>
  <c r="HP67" i="29"/>
  <c r="HW67" i="29"/>
  <c r="HY67" i="29"/>
  <c r="IF67" i="29"/>
  <c r="IH67" i="29" s="1"/>
  <c r="IO67" i="29"/>
  <c r="IQ67" i="29" s="1"/>
  <c r="G68" i="29"/>
  <c r="I68" i="29"/>
  <c r="P68" i="29"/>
  <c r="R68" i="29"/>
  <c r="AA68" i="29"/>
  <c r="AH68" i="29"/>
  <c r="AJ68" i="29" s="1"/>
  <c r="AS68" i="29"/>
  <c r="BB68" i="29"/>
  <c r="BI68" i="29"/>
  <c r="BK68" i="29" s="1"/>
  <c r="BS68" i="29"/>
  <c r="BZ68" i="29"/>
  <c r="CB68" i="29" s="1"/>
  <c r="CI68" i="29"/>
  <c r="CK68" i="29"/>
  <c r="CR68" i="29"/>
  <c r="CT68" i="29"/>
  <c r="DA68" i="29"/>
  <c r="DC68" i="29"/>
  <c r="DL68" i="29"/>
  <c r="DU68" i="29"/>
  <c r="ED68" i="29"/>
  <c r="EM68" i="29"/>
  <c r="EV68" i="29"/>
  <c r="FE68" i="29"/>
  <c r="FN68" i="29"/>
  <c r="FW68" i="29"/>
  <c r="GD68" i="29"/>
  <c r="GF68" i="29"/>
  <c r="GM68" i="29"/>
  <c r="GO68" i="29"/>
  <c r="GV68" i="29"/>
  <c r="GX68" i="29"/>
  <c r="HE68" i="29"/>
  <c r="HG68" i="29"/>
  <c r="HN68" i="29"/>
  <c r="HP68" i="29" s="1"/>
  <c r="HW68" i="29"/>
  <c r="HY68" i="29" s="1"/>
  <c r="IF68" i="29"/>
  <c r="IH68" i="29" s="1"/>
  <c r="IO68" i="29"/>
  <c r="IQ68" i="29" s="1"/>
  <c r="I69" i="29"/>
  <c r="R69" i="29"/>
  <c r="AA69" i="29"/>
  <c r="AH69" i="29"/>
  <c r="AJ69" i="29"/>
  <c r="AQ69" i="29"/>
  <c r="AS69" i="29"/>
  <c r="AZ69" i="29"/>
  <c r="BB69" i="29" s="1"/>
  <c r="BI69" i="29"/>
  <c r="BK69" i="29"/>
  <c r="BQ69" i="29"/>
  <c r="BS69" i="29" s="1"/>
  <c r="BZ69" i="29"/>
  <c r="CB69" i="29" s="1"/>
  <c r="CI69" i="29"/>
  <c r="CK69" i="29" s="1"/>
  <c r="CR69" i="29"/>
  <c r="CT69" i="29" s="1"/>
  <c r="DA69" i="29"/>
  <c r="DC69" i="29" s="1"/>
  <c r="DL69" i="29"/>
  <c r="DU69" i="29"/>
  <c r="ED69" i="29"/>
  <c r="EM69" i="29"/>
  <c r="ET69" i="29"/>
  <c r="EV69" i="29" s="1"/>
  <c r="FC69" i="29"/>
  <c r="FE69" i="29"/>
  <c r="FL69" i="29"/>
  <c r="FN69" i="29" s="1"/>
  <c r="FU69" i="29"/>
  <c r="FW69" i="29" s="1"/>
  <c r="GD69" i="29"/>
  <c r="GF69" i="29" s="1"/>
  <c r="GM69" i="29"/>
  <c r="GO69" i="29" s="1"/>
  <c r="GV69" i="29"/>
  <c r="GX69" i="29"/>
  <c r="HE69" i="29"/>
  <c r="HG69" i="29" s="1"/>
  <c r="HN69" i="29"/>
  <c r="HP69" i="29"/>
  <c r="HY69" i="29"/>
  <c r="IH69" i="29"/>
  <c r="IQ69" i="29"/>
  <c r="Y70" i="29"/>
  <c r="AA70" i="29" s="1"/>
  <c r="AQ70" i="29"/>
  <c r="AS70" i="29" s="1"/>
  <c r="AZ70" i="29"/>
  <c r="BB70" i="29"/>
  <c r="BI70" i="29"/>
  <c r="BK70" i="29" s="1"/>
  <c r="BQ70" i="29"/>
  <c r="BS70" i="29"/>
  <c r="BZ70" i="29"/>
  <c r="CB70" i="29"/>
  <c r="CI70" i="29"/>
  <c r="CK70" i="29" s="1"/>
  <c r="CR70" i="29"/>
  <c r="CT70" i="29"/>
  <c r="DA70" i="29"/>
  <c r="DC70" i="29"/>
  <c r="DL70" i="29"/>
  <c r="DU70" i="29"/>
  <c r="EB70" i="29"/>
  <c r="ED70" i="29" s="1"/>
  <c r="EK70" i="29"/>
  <c r="EM70" i="29"/>
  <c r="ET70" i="29"/>
  <c r="EV70" i="29"/>
  <c r="FC70" i="29"/>
  <c r="FE70" i="29"/>
  <c r="FL70" i="29"/>
  <c r="FN70" i="29" s="1"/>
  <c r="FU70" i="29"/>
  <c r="FW70" i="29" s="1"/>
  <c r="GF70" i="29"/>
  <c r="GO70" i="29"/>
  <c r="GX70" i="29"/>
  <c r="HG70" i="29"/>
  <c r="HP70" i="29"/>
  <c r="HW70" i="29"/>
  <c r="HY70" i="29"/>
  <c r="IF70" i="29"/>
  <c r="IH70" i="29" s="1"/>
  <c r="IO70" i="29"/>
  <c r="IQ70" i="29"/>
  <c r="AA71" i="29"/>
  <c r="AS71" i="29"/>
  <c r="BB71" i="29"/>
  <c r="BQ71" i="29"/>
  <c r="BS71" i="29"/>
  <c r="CB71" i="29"/>
  <c r="CI71" i="29"/>
  <c r="CK71" i="29" s="1"/>
  <c r="CR71" i="29"/>
  <c r="CT71" i="29" s="1"/>
  <c r="DA71" i="29"/>
  <c r="DC71" i="29" s="1"/>
  <c r="DJ71" i="29"/>
  <c r="DL71" i="29"/>
  <c r="DS71" i="29"/>
  <c r="DU71" i="29"/>
  <c r="EB71" i="29"/>
  <c r="ED71" i="29" s="1"/>
  <c r="EK71" i="29"/>
  <c r="EM71" i="29"/>
  <c r="EV71" i="29"/>
  <c r="FE71" i="29"/>
  <c r="FN71" i="29"/>
  <c r="FW71" i="29"/>
  <c r="GF71" i="29"/>
  <c r="GO71" i="29"/>
  <c r="GV71" i="29"/>
  <c r="GX71" i="29"/>
  <c r="HE71" i="29"/>
  <c r="HG71" i="29" s="1"/>
  <c r="HN71" i="29"/>
  <c r="HP71" i="29" s="1"/>
  <c r="HW71" i="29"/>
  <c r="HY71" i="29" s="1"/>
  <c r="IF71" i="29"/>
  <c r="IH71" i="29" s="1"/>
  <c r="IO71" i="29"/>
  <c r="IQ71" i="29"/>
  <c r="C72" i="29"/>
  <c r="D72" i="29"/>
  <c r="E72" i="29"/>
  <c r="F72" i="29"/>
  <c r="H72" i="29"/>
  <c r="L72" i="29"/>
  <c r="M72" i="29"/>
  <c r="N72" i="29"/>
  <c r="Q72" i="29"/>
  <c r="U72" i="29"/>
  <c r="V72" i="29"/>
  <c r="W72" i="29"/>
  <c r="Z72" i="29"/>
  <c r="AD72" i="29"/>
  <c r="AE72" i="29"/>
  <c r="AF72" i="29"/>
  <c r="AI72" i="29"/>
  <c r="AM72" i="29"/>
  <c r="AN72" i="29"/>
  <c r="AO72" i="29"/>
  <c r="AR72" i="29"/>
  <c r="AV72" i="29"/>
  <c r="AW72" i="29"/>
  <c r="AX72" i="29"/>
  <c r="BA72" i="29"/>
  <c r="BE72" i="29"/>
  <c r="BF72" i="29"/>
  <c r="BG72" i="29"/>
  <c r="BJ72" i="29"/>
  <c r="BM72" i="29"/>
  <c r="BN72" i="29"/>
  <c r="BO72" i="29"/>
  <c r="BR72" i="29"/>
  <c r="BV72" i="29"/>
  <c r="BW72" i="29"/>
  <c r="BX72" i="29"/>
  <c r="CA72" i="29"/>
  <c r="CE72" i="29"/>
  <c r="CF72" i="29"/>
  <c r="CG72" i="29"/>
  <c r="CH72" i="29"/>
  <c r="CJ72" i="29"/>
  <c r="CN72" i="29"/>
  <c r="CP72" i="29"/>
  <c r="CQ72" i="29"/>
  <c r="CS72" i="29"/>
  <c r="CW72" i="29"/>
  <c r="DF72" i="29"/>
  <c r="DG72" i="29"/>
  <c r="DO72" i="29"/>
  <c r="DX72" i="29"/>
  <c r="DY72" i="29"/>
  <c r="EC72" i="29"/>
  <c r="EG72" i="29"/>
  <c r="EP72" i="29"/>
  <c r="EU72" i="29"/>
  <c r="EY72" i="29"/>
  <c r="FH72" i="29"/>
  <c r="FQ72" i="29"/>
  <c r="FZ72" i="29"/>
  <c r="GI72" i="29"/>
  <c r="GR72" i="29"/>
  <c r="GS72" i="29"/>
  <c r="HA72" i="29"/>
  <c r="HB72" i="29"/>
  <c r="HJ72" i="29"/>
  <c r="HO72" i="29"/>
  <c r="HS72" i="29"/>
  <c r="IB72" i="29"/>
  <c r="IK72" i="29"/>
  <c r="IL72" i="29"/>
  <c r="G78" i="29"/>
  <c r="P78" i="29"/>
  <c r="Y78" i="29"/>
  <c r="AH78" i="29"/>
  <c r="AQ78" i="29"/>
  <c r="AZ78" i="29"/>
  <c r="BI78" i="29"/>
  <c r="BQ78" i="29"/>
  <c r="BZ78" i="29"/>
  <c r="BZ80" i="29" s="1"/>
  <c r="CI78" i="29"/>
  <c r="CI80" i="29" s="1"/>
  <c r="G79" i="29"/>
  <c r="P79" i="29"/>
  <c r="Y79" i="29"/>
  <c r="AH79" i="29"/>
  <c r="AQ79" i="29"/>
  <c r="AZ79" i="29"/>
  <c r="BI79" i="29"/>
  <c r="BQ79" i="29"/>
  <c r="G80" i="29"/>
  <c r="P80" i="29"/>
  <c r="P82" i="29" s="1"/>
  <c r="Y80" i="29"/>
  <c r="AH80" i="29"/>
  <c r="AQ80" i="29"/>
  <c r="AZ80" i="29"/>
  <c r="BI80" i="29"/>
  <c r="BQ80" i="29"/>
  <c r="BV80" i="29"/>
  <c r="BW80" i="29"/>
  <c r="BX80" i="29"/>
  <c r="BY80" i="29"/>
  <c r="CE80" i="29"/>
  <c r="CF80" i="29"/>
  <c r="CG80" i="29"/>
  <c r="CH80" i="29"/>
  <c r="C82" i="29"/>
  <c r="D82" i="29"/>
  <c r="E82" i="29"/>
  <c r="F82" i="29"/>
  <c r="L82" i="29"/>
  <c r="M82" i="29"/>
  <c r="N82" i="29"/>
  <c r="O82" i="29"/>
  <c r="U82" i="29"/>
  <c r="V82" i="29"/>
  <c r="W82" i="29"/>
  <c r="X82" i="29"/>
  <c r="AD82" i="29"/>
  <c r="AE82" i="29"/>
  <c r="AF82" i="29"/>
  <c r="AG82" i="29"/>
  <c r="AM82" i="29"/>
  <c r="AN82" i="29"/>
  <c r="AO82" i="29"/>
  <c r="AP82" i="29"/>
  <c r="AV82" i="29"/>
  <c r="AW82" i="29"/>
  <c r="AX82" i="29"/>
  <c r="AY82" i="29"/>
  <c r="BE82" i="29"/>
  <c r="BF82" i="29"/>
  <c r="BG82" i="29"/>
  <c r="BH82" i="29"/>
  <c r="BM82" i="29"/>
  <c r="BN82" i="29"/>
  <c r="BO82" i="29"/>
  <c r="BP82" i="29"/>
  <c r="M93" i="29"/>
  <c r="N93" i="29"/>
  <c r="O93" i="29"/>
  <c r="P93" i="29"/>
  <c r="X93" i="29"/>
  <c r="AA93" i="29" s="1"/>
  <c r="Y93" i="29"/>
  <c r="AX93" i="29"/>
  <c r="AY93" i="29"/>
  <c r="E94" i="29"/>
  <c r="F94" i="29"/>
  <c r="G94" i="29"/>
  <c r="M94" i="29"/>
  <c r="N94" i="29"/>
  <c r="O94" i="29"/>
  <c r="P94" i="29"/>
  <c r="W94" i="29"/>
  <c r="X94" i="29"/>
  <c r="Y94" i="29"/>
  <c r="AF94" i="29"/>
  <c r="AG94" i="29"/>
  <c r="AH94" i="29"/>
  <c r="AJ94" i="29"/>
  <c r="AN94" i="29"/>
  <c r="AO94" i="29"/>
  <c r="AP94" i="29"/>
  <c r="AQ94" i="29"/>
  <c r="AX94" i="29"/>
  <c r="AY94" i="29"/>
  <c r="AZ94" i="29"/>
  <c r="BA94" i="29"/>
  <c r="E95" i="29"/>
  <c r="F95" i="29"/>
  <c r="I95" i="29" s="1"/>
  <c r="G95" i="29"/>
  <c r="N95" i="29"/>
  <c r="O95" i="29"/>
  <c r="P95" i="29"/>
  <c r="Q95" i="29"/>
  <c r="W95" i="29"/>
  <c r="X95" i="29"/>
  <c r="Y95" i="29"/>
  <c r="Z95" i="29"/>
  <c r="AF95" i="29"/>
  <c r="AG95" i="29"/>
  <c r="AH95" i="29"/>
  <c r="AI95" i="29"/>
  <c r="AN95" i="29"/>
  <c r="AO95" i="29"/>
  <c r="AP95" i="29"/>
  <c r="AQ95" i="29"/>
  <c r="AR95" i="29"/>
  <c r="AX95" i="29"/>
  <c r="AY95" i="29"/>
  <c r="AZ95" i="29"/>
  <c r="BA95" i="29"/>
  <c r="E96" i="29"/>
  <c r="F96" i="29"/>
  <c r="G96" i="29"/>
  <c r="H96" i="29"/>
  <c r="N96" i="29"/>
  <c r="O96" i="29"/>
  <c r="P96" i="29"/>
  <c r="Q96" i="29"/>
  <c r="W96" i="29"/>
  <c r="X96" i="29"/>
  <c r="Y96" i="29"/>
  <c r="Z96" i="29"/>
  <c r="AF96" i="29"/>
  <c r="AG96" i="29"/>
  <c r="AH96" i="29"/>
  <c r="AI96" i="29"/>
  <c r="AO96" i="29"/>
  <c r="AP96" i="29"/>
  <c r="AQ96" i="29"/>
  <c r="AS96" i="29" s="1"/>
  <c r="AR96" i="29"/>
  <c r="AX96" i="29"/>
  <c r="AY96" i="29"/>
  <c r="AZ96" i="29"/>
  <c r="BB96" i="29" s="1"/>
  <c r="E97" i="29"/>
  <c r="F97" i="29"/>
  <c r="G97" i="29"/>
  <c r="H97" i="29"/>
  <c r="O97" i="29"/>
  <c r="P97" i="29"/>
  <c r="X97" i="29"/>
  <c r="Y97" i="29"/>
  <c r="AA97" i="29"/>
  <c r="AG97" i="29"/>
  <c r="AH97" i="29"/>
  <c r="AO97" i="29"/>
  <c r="AP97" i="29"/>
  <c r="AQ97" i="29"/>
  <c r="AY97" i="29"/>
  <c r="AZ97" i="29"/>
  <c r="BA97" i="29"/>
  <c r="F98" i="29"/>
  <c r="I98" i="29" s="1"/>
  <c r="G98" i="29"/>
  <c r="O98" i="29"/>
  <c r="R98" i="29" s="1"/>
  <c r="P98" i="29"/>
  <c r="Q98" i="29"/>
  <c r="X98" i="29"/>
  <c r="Y98" i="29"/>
  <c r="Z98" i="29"/>
  <c r="AG98" i="29"/>
  <c r="AH98" i="29"/>
  <c r="AI98" i="29"/>
  <c r="AP98" i="29"/>
  <c r="AQ98" i="29"/>
  <c r="AR98" i="29"/>
  <c r="AY98" i="29"/>
  <c r="BB98" i="29" s="1"/>
  <c r="AZ98" i="29"/>
  <c r="F99" i="29"/>
  <c r="G99" i="29"/>
  <c r="H99" i="29"/>
  <c r="O99" i="29"/>
  <c r="P99" i="29"/>
  <c r="X99" i="29"/>
  <c r="Y99" i="29"/>
  <c r="AG99" i="29"/>
  <c r="AH99" i="29"/>
  <c r="AP99" i="29"/>
  <c r="AS99" i="29" s="1"/>
  <c r="AQ99" i="29"/>
  <c r="AY99" i="29"/>
  <c r="AZ99" i="29"/>
  <c r="BB99" i="29"/>
  <c r="F100" i="29"/>
  <c r="G100" i="29"/>
  <c r="O100" i="29"/>
  <c r="P100" i="29"/>
  <c r="X100" i="29"/>
  <c r="Y100" i="29"/>
  <c r="AA100" i="29"/>
  <c r="AG100" i="29"/>
  <c r="AH100" i="29"/>
  <c r="AJ100" i="29"/>
  <c r="AP100" i="29"/>
  <c r="AQ100" i="29"/>
  <c r="AY100" i="29"/>
  <c r="AZ100" i="29"/>
  <c r="BA100" i="29"/>
  <c r="F101" i="29"/>
  <c r="G101" i="29"/>
  <c r="P101" i="29"/>
  <c r="Q101" i="29"/>
  <c r="Y101" i="29"/>
  <c r="Z101" i="29"/>
  <c r="AH101" i="29"/>
  <c r="AI101" i="29"/>
  <c r="AJ101" i="29"/>
  <c r="AQ101" i="29"/>
  <c r="AR101" i="29"/>
  <c r="AZ101" i="29"/>
  <c r="BB101" i="29" s="1"/>
  <c r="G102" i="29"/>
  <c r="I102" i="29" s="1"/>
  <c r="H102" i="29"/>
  <c r="P102" i="29"/>
  <c r="R102" i="29"/>
  <c r="Y102" i="29"/>
  <c r="AA102" i="29" s="1"/>
  <c r="AH102" i="29"/>
  <c r="AJ102" i="29"/>
  <c r="AQ102" i="29"/>
  <c r="AS102" i="29"/>
  <c r="AZ102" i="29"/>
  <c r="BB102" i="29" s="1"/>
  <c r="G103" i="29"/>
  <c r="I103" i="29" s="1"/>
  <c r="P103" i="29"/>
  <c r="R103" i="29" s="1"/>
  <c r="Y103" i="29"/>
  <c r="AA103" i="29" s="1"/>
  <c r="AH103" i="29"/>
  <c r="AJ103" i="29"/>
  <c r="AQ103" i="29"/>
  <c r="AS103" i="29"/>
  <c r="BB103" i="29"/>
  <c r="G104" i="29"/>
  <c r="I104" i="29"/>
  <c r="P104" i="29"/>
  <c r="R104" i="29" s="1"/>
  <c r="Y104" i="29"/>
  <c r="AA104" i="29"/>
  <c r="AH104" i="29"/>
  <c r="AJ104" i="29" s="1"/>
  <c r="AS104" i="29"/>
  <c r="AZ104" i="29"/>
  <c r="BB104" i="29"/>
  <c r="G105" i="29"/>
  <c r="I105" i="29" s="1"/>
  <c r="P105" i="29"/>
  <c r="R105" i="29"/>
  <c r="Y105" i="29"/>
  <c r="AA105" i="29"/>
  <c r="AH105" i="29"/>
  <c r="AJ105" i="29"/>
  <c r="AQ105" i="29"/>
  <c r="AS105" i="29" s="1"/>
  <c r="AZ105" i="29"/>
  <c r="BB105" i="29"/>
  <c r="G106" i="29"/>
  <c r="I106" i="29" s="1"/>
  <c r="P106" i="29"/>
  <c r="R106" i="29" s="1"/>
  <c r="Y106" i="29"/>
  <c r="AA106" i="29" s="1"/>
  <c r="AH106" i="29"/>
  <c r="AJ106" i="29" s="1"/>
  <c r="AQ106" i="29"/>
  <c r="AS106" i="29"/>
  <c r="AZ106" i="29"/>
  <c r="BB106" i="29"/>
  <c r="G107" i="29"/>
  <c r="I107" i="29" s="1"/>
  <c r="P107" i="29"/>
  <c r="R107" i="29" s="1"/>
  <c r="Y107" i="29"/>
  <c r="AA107" i="29"/>
  <c r="AH107" i="29"/>
  <c r="AJ107" i="29" s="1"/>
  <c r="AQ107" i="29"/>
  <c r="AS107" i="29"/>
  <c r="AZ107" i="29"/>
  <c r="BB107" i="29"/>
  <c r="G108" i="29"/>
  <c r="I108" i="29"/>
  <c r="P108" i="29"/>
  <c r="R108" i="29" s="1"/>
  <c r="Y108" i="29"/>
  <c r="AA108" i="29" s="1"/>
  <c r="AH108" i="29"/>
  <c r="AJ108" i="29" s="1"/>
  <c r="AQ108" i="29"/>
  <c r="AS108" i="29" s="1"/>
  <c r="AZ108" i="29"/>
  <c r="BB108" i="29"/>
  <c r="G109" i="29"/>
  <c r="I109" i="29" s="1"/>
  <c r="P109" i="29"/>
  <c r="R109" i="29"/>
  <c r="Y109" i="29"/>
  <c r="AA109" i="29"/>
  <c r="AH109" i="29"/>
  <c r="AJ109" i="29" s="1"/>
  <c r="AQ109" i="29"/>
  <c r="AS109" i="29" s="1"/>
  <c r="BB109" i="29"/>
  <c r="G110" i="29"/>
  <c r="I110" i="29" s="1"/>
  <c r="R110" i="29"/>
  <c r="AA110" i="29"/>
  <c r="AJ110" i="29"/>
  <c r="AS110" i="29"/>
  <c r="AZ110" i="29"/>
  <c r="BB110" i="29" s="1"/>
  <c r="I111" i="29"/>
  <c r="P111" i="29"/>
  <c r="R111" i="29" s="1"/>
  <c r="Y111" i="29"/>
  <c r="AA111" i="29" s="1"/>
  <c r="AH111" i="29"/>
  <c r="AJ111" i="29" s="1"/>
  <c r="AQ111" i="29"/>
  <c r="AS111" i="29" s="1"/>
  <c r="AZ111" i="29"/>
  <c r="BB111" i="29" s="1"/>
  <c r="G112" i="29"/>
  <c r="I112" i="29" s="1"/>
  <c r="P112" i="29"/>
  <c r="R112" i="29" s="1"/>
  <c r="Y112" i="29"/>
  <c r="AA112" i="29"/>
  <c r="AH112" i="29"/>
  <c r="AJ112" i="29" s="1"/>
  <c r="AQ112" i="29"/>
  <c r="AS112" i="29" s="1"/>
  <c r="AZ112" i="29"/>
  <c r="BB112" i="29" s="1"/>
  <c r="G113" i="29"/>
  <c r="I113" i="29" s="1"/>
  <c r="P113" i="29"/>
  <c r="R113" i="29" s="1"/>
  <c r="Y113" i="29"/>
  <c r="AA113" i="29"/>
  <c r="AH113" i="29"/>
  <c r="AJ113" i="29" s="1"/>
  <c r="AQ113" i="29"/>
  <c r="AS113" i="29"/>
  <c r="AZ113" i="29"/>
  <c r="BB113" i="29" s="1"/>
  <c r="C114" i="29"/>
  <c r="D114" i="29"/>
  <c r="L114" i="29"/>
  <c r="U114" i="29"/>
  <c r="V114" i="29"/>
  <c r="AD114" i="29"/>
  <c r="AE114" i="29"/>
  <c r="AM114" i="29"/>
  <c r="AV114" i="29"/>
  <c r="AW114" i="29"/>
  <c r="BE114" i="29"/>
  <c r="DU55" i="29" l="1"/>
  <c r="Z114" i="29"/>
  <c r="AJ99" i="29"/>
  <c r="HG58" i="29"/>
  <c r="HG56" i="29"/>
  <c r="FN55" i="29"/>
  <c r="HU72" i="29"/>
  <c r="AA99" i="29"/>
  <c r="HP61" i="29"/>
  <c r="IH53" i="29"/>
  <c r="ES72" i="29"/>
  <c r="AY114" i="29"/>
  <c r="FE55" i="29"/>
  <c r="R100" i="29"/>
  <c r="EV62" i="29"/>
  <c r="IG72" i="29"/>
  <c r="GC72" i="29"/>
  <c r="DI72" i="29"/>
  <c r="GU72" i="29"/>
  <c r="H114" i="29"/>
  <c r="AA98" i="29"/>
  <c r="AO114" i="29"/>
  <c r="GO56" i="29"/>
  <c r="EM56" i="29"/>
  <c r="ET72" i="29"/>
  <c r="I100" i="29"/>
  <c r="AR114" i="29"/>
  <c r="AN114" i="29"/>
  <c r="BY72" i="29"/>
  <c r="IH56" i="29"/>
  <c r="GE72" i="29"/>
  <c r="DC53" i="29"/>
  <c r="HK72" i="29"/>
  <c r="IQ9" i="29"/>
  <c r="AS94" i="29"/>
  <c r="AA96" i="29"/>
  <c r="GK72" i="29"/>
  <c r="FL72" i="29"/>
  <c r="GX56" i="29"/>
  <c r="FW54" i="29"/>
  <c r="FS72" i="29"/>
  <c r="GM28" i="29"/>
  <c r="GO28" i="29" s="1"/>
  <c r="BA114" i="29"/>
  <c r="W114" i="29"/>
  <c r="CO72" i="29"/>
  <c r="IO28" i="29"/>
  <c r="G72" i="29"/>
  <c r="Y82" i="29"/>
  <c r="HG28" i="29"/>
  <c r="BI82" i="29"/>
  <c r="AZ82" i="29"/>
  <c r="IF41" i="29"/>
  <c r="DU28" i="29"/>
  <c r="AH82" i="29"/>
  <c r="CB72" i="29"/>
  <c r="Y28" i="29"/>
  <c r="FU41" i="29"/>
  <c r="BQ82" i="29"/>
  <c r="DC28" i="29"/>
  <c r="AS72" i="29"/>
  <c r="AJ97" i="29"/>
  <c r="IH55" i="29"/>
  <c r="EV53" i="29"/>
  <c r="IN72" i="29"/>
  <c r="GO51" i="29"/>
  <c r="HE41" i="29"/>
  <c r="HY28" i="29"/>
  <c r="AG114" i="29"/>
  <c r="BI72" i="29"/>
  <c r="GF55" i="29"/>
  <c r="FE54" i="29"/>
  <c r="IQ52" i="29"/>
  <c r="EV52" i="29"/>
  <c r="FL41" i="29"/>
  <c r="HW28" i="29"/>
  <c r="HY52" i="29"/>
  <c r="DR72" i="29"/>
  <c r="HY51" i="29"/>
  <c r="AJ28" i="29"/>
  <c r="CR28" i="29"/>
  <c r="FE28" i="29"/>
  <c r="BK72" i="29"/>
  <c r="DL53" i="29"/>
  <c r="G114" i="29"/>
  <c r="DL52" i="29"/>
  <c r="IO41" i="29"/>
  <c r="FE62" i="29"/>
  <c r="CT72" i="29"/>
  <c r="GJ72" i="29"/>
  <c r="X72" i="29"/>
  <c r="FW55" i="29"/>
  <c r="EV54" i="29"/>
  <c r="EM53" i="29"/>
  <c r="IE72" i="29"/>
  <c r="HG52" i="29"/>
  <c r="EI72" i="29"/>
  <c r="HN72" i="29"/>
  <c r="IH57" i="29"/>
  <c r="GX55" i="29"/>
  <c r="FE51" i="29"/>
  <c r="AS100" i="29"/>
  <c r="EM28" i="29"/>
  <c r="FV72" i="29"/>
  <c r="FN54" i="29"/>
  <c r="EA72" i="29"/>
  <c r="EB28" i="29"/>
  <c r="AJ95" i="29"/>
  <c r="HN41" i="29"/>
  <c r="EV28" i="29"/>
  <c r="DA28" i="29"/>
  <c r="AH28" i="29"/>
  <c r="R101" i="29"/>
  <c r="BB97" i="29"/>
  <c r="I101" i="29"/>
  <c r="I97" i="29"/>
  <c r="EM63" i="29"/>
  <c r="DA72" i="29"/>
  <c r="EK72" i="29"/>
  <c r="FT72" i="29"/>
  <c r="FW52" i="29"/>
  <c r="GB72" i="29"/>
  <c r="GU28" i="29"/>
  <c r="ED54" i="29"/>
  <c r="R97" i="29"/>
  <c r="HD72" i="29"/>
  <c r="Q114" i="29"/>
  <c r="HM72" i="29"/>
  <c r="IQ53" i="29"/>
  <c r="HG53" i="29"/>
  <c r="FW53" i="29"/>
  <c r="GA72" i="29"/>
  <c r="AS101" i="29"/>
  <c r="AG72" i="29"/>
  <c r="DC64" i="29"/>
  <c r="EJ72" i="29"/>
  <c r="BB95" i="29"/>
  <c r="R95" i="29"/>
  <c r="HT72" i="29"/>
  <c r="CR72" i="29"/>
  <c r="GW72" i="29"/>
  <c r="HY60" i="29"/>
  <c r="IQ57" i="29"/>
  <c r="HP54" i="29"/>
  <c r="GF54" i="29"/>
  <c r="GX52" i="29"/>
  <c r="IC72" i="29"/>
  <c r="HN28" i="29"/>
  <c r="GO55" i="29"/>
  <c r="GX58" i="29"/>
  <c r="DU54" i="29"/>
  <c r="R28" i="29"/>
  <c r="BB100" i="29"/>
  <c r="AS97" i="29"/>
  <c r="AQ114" i="29"/>
  <c r="AP72" i="29"/>
  <c r="FN53" i="29"/>
  <c r="HV72" i="29"/>
  <c r="FJ72" i="29"/>
  <c r="HM28" i="29"/>
  <c r="AQ28" i="29"/>
  <c r="I72" i="29"/>
  <c r="IF72" i="29"/>
  <c r="DU64" i="29"/>
  <c r="GX17" i="29"/>
  <c r="GV28" i="29"/>
  <c r="GX28" i="29" s="1"/>
  <c r="IH52" i="29"/>
  <c r="IQ28" i="29"/>
  <c r="AA94" i="29"/>
  <c r="FN28" i="29"/>
  <c r="BI28" i="29"/>
  <c r="BB94" i="29"/>
  <c r="IQ54" i="29"/>
  <c r="IM72" i="29"/>
  <c r="AY72" i="29"/>
  <c r="BB53" i="29"/>
  <c r="BB72" i="29" s="1"/>
  <c r="BS72" i="29"/>
  <c r="CT28" i="29"/>
  <c r="BB28" i="29"/>
  <c r="AS98" i="29"/>
  <c r="HG54" i="29"/>
  <c r="HC72" i="29"/>
  <c r="AQ82" i="29"/>
  <c r="AP114" i="29"/>
  <c r="R94" i="29"/>
  <c r="AZ72" i="29"/>
  <c r="DC52" i="29"/>
  <c r="CX72" i="29"/>
  <c r="ED51" i="29"/>
  <c r="DZ72" i="29"/>
  <c r="GX61" i="29"/>
  <c r="R99" i="29"/>
  <c r="EM54" i="29"/>
  <c r="FN52" i="29"/>
  <c r="FI72" i="29"/>
  <c r="GV72" i="29"/>
  <c r="BS28" i="29"/>
  <c r="Y114" i="29"/>
  <c r="EB72" i="29"/>
  <c r="EM52" i="29"/>
  <c r="O114" i="29"/>
  <c r="R96" i="29"/>
  <c r="N114" i="29"/>
  <c r="GX53" i="29"/>
  <c r="GT72" i="29"/>
  <c r="GM72" i="29"/>
  <c r="HW72" i="29"/>
  <c r="P114" i="29"/>
  <c r="AQ72" i="29"/>
  <c r="HP56" i="29"/>
  <c r="EM55" i="29"/>
  <c r="IH54" i="29"/>
  <c r="IF28" i="29"/>
  <c r="AS95" i="29"/>
  <c r="GN72" i="29"/>
  <c r="FW56" i="29"/>
  <c r="AA72" i="29"/>
  <c r="AJ96" i="29"/>
  <c r="AI114" i="29"/>
  <c r="F114" i="29"/>
  <c r="I94" i="29"/>
  <c r="R93" i="29"/>
  <c r="M114" i="29"/>
  <c r="DJ72" i="29"/>
  <c r="AJ60" i="29"/>
  <c r="AJ72" i="29" s="1"/>
  <c r="AH72" i="29"/>
  <c r="HW41" i="29"/>
  <c r="GV41" i="29"/>
  <c r="BK28" i="29"/>
  <c r="Y72" i="29"/>
  <c r="HP58" i="29"/>
  <c r="EQ72" i="29"/>
  <c r="EV51" i="29"/>
  <c r="GM41" i="29"/>
  <c r="GF56" i="29"/>
  <c r="I96" i="29"/>
  <c r="E114" i="29"/>
  <c r="EH72" i="29"/>
  <c r="HG61" i="29"/>
  <c r="GF58" i="29"/>
  <c r="GD72" i="29"/>
  <c r="IH28" i="29"/>
  <c r="AS28" i="29"/>
  <c r="HY53" i="29"/>
  <c r="GO52" i="29"/>
  <c r="ES41" i="29"/>
  <c r="DJ28" i="29"/>
  <c r="CK8" i="29"/>
  <c r="CK28" i="29" s="1"/>
  <c r="CI28" i="29"/>
  <c r="G28" i="29"/>
  <c r="I8" i="29"/>
  <c r="I28" i="29" s="1"/>
  <c r="AA101" i="29"/>
  <c r="AJ98" i="29"/>
  <c r="AH114" i="29"/>
  <c r="G82" i="29"/>
  <c r="HP55" i="29"/>
  <c r="ED55" i="29"/>
  <c r="HX72" i="29"/>
  <c r="FE53" i="29"/>
  <c r="FB72" i="29"/>
  <c r="BZ72" i="29"/>
  <c r="FC72" i="29"/>
  <c r="FE52" i="29"/>
  <c r="FC41" i="29"/>
  <c r="I99" i="29"/>
  <c r="AF114" i="29"/>
  <c r="GF61" i="29"/>
  <c r="R61" i="29"/>
  <c r="R72" i="29" s="1"/>
  <c r="P72" i="29"/>
  <c r="BQ72" i="29"/>
  <c r="CK58" i="29"/>
  <c r="CK72" i="29" s="1"/>
  <c r="CI72" i="29"/>
  <c r="HF72" i="29"/>
  <c r="DS72" i="29"/>
  <c r="GF28" i="29"/>
  <c r="FW21" i="29"/>
  <c r="FW28" i="29" s="1"/>
  <c r="FU28" i="29"/>
  <c r="AA95" i="29"/>
  <c r="HG55" i="29"/>
  <c r="DL54" i="29"/>
  <c r="IO72" i="29"/>
  <c r="HL72" i="29"/>
  <c r="HP28" i="29"/>
  <c r="EK28" i="29"/>
  <c r="AZ114" i="29"/>
  <c r="X114" i="29"/>
  <c r="AX114" i="29"/>
  <c r="BB93" i="29"/>
  <c r="DL55" i="29"/>
  <c r="FU72" i="29"/>
  <c r="HE72" i="29"/>
  <c r="GL72" i="29"/>
  <c r="CB9" i="29"/>
  <c r="CB28" i="29" s="1"/>
  <c r="BZ28" i="29"/>
  <c r="ED28" i="29"/>
  <c r="AZ28" i="29"/>
  <c r="ID72" i="29"/>
  <c r="DH72" i="29"/>
  <c r="DS28" i="29"/>
  <c r="BQ28" i="29"/>
  <c r="P28" i="29"/>
  <c r="AA11" i="29"/>
  <c r="AA28" i="29" s="1"/>
  <c r="DL9" i="29"/>
  <c r="DL28" i="29" s="1"/>
  <c r="FW72" i="29" l="1"/>
  <c r="HY72" i="29"/>
  <c r="HG72" i="29"/>
  <c r="GO72" i="29"/>
  <c r="EV72" i="29"/>
  <c r="FE72" i="29"/>
  <c r="DU72" i="29"/>
  <c r="FN72" i="29"/>
  <c r="ED72" i="29"/>
  <c r="AS114" i="29"/>
  <c r="DC72" i="29"/>
  <c r="HP72" i="29"/>
  <c r="GF72" i="29"/>
  <c r="AA114" i="29"/>
  <c r="IQ72" i="29"/>
  <c r="GX72" i="29"/>
  <c r="AJ114" i="29"/>
  <c r="IH72" i="29"/>
  <c r="R114" i="29"/>
  <c r="I114" i="29"/>
  <c r="BB114" i="29"/>
  <c r="EM72" i="29"/>
  <c r="DL72" i="29"/>
</calcChain>
</file>

<file path=xl/sharedStrings.xml><?xml version="1.0" encoding="utf-8"?>
<sst xmlns="http://schemas.openxmlformats.org/spreadsheetml/2006/main" count="6115" uniqueCount="1017">
  <si>
    <t xml:space="preserve">(8) Section 6(1A) of the PDM Act has been repealed through Finance Act 2025. Thus, with effect from September 2025, cash and cash equivalents and equity are not being deducted from public sector debt and public sector net debt is no more computed. </t>
  </si>
  <si>
    <t xml:space="preserve">(7) Consolidated in line with IMF GFS Manual </t>
  </si>
  <si>
    <t>(6) Exclude outstanding debt stock of public sector banks (except Development Bank of Mauritius Ltd)</t>
  </si>
  <si>
    <t>(5) Represents long term liability towards IMF</t>
  </si>
  <si>
    <t>(3) Represents investment by non-residents in Treasury Bills</t>
  </si>
  <si>
    <t>*  in line with Section 6 of the Public Debt Management (PDM) Act 2008, as amended</t>
  </si>
  <si>
    <t>GDP (Source - Statistics Mauritius)</t>
  </si>
  <si>
    <t>Note 8</t>
  </si>
  <si>
    <t>Note 6</t>
  </si>
  <si>
    <t>Public Sector Net Debt as % of GDP</t>
  </si>
  <si>
    <t>Public Sector Net Debt</t>
  </si>
  <si>
    <r>
      <t>Less Cash and Cash Equivalents &amp; Equity (Net of Rs 500M)</t>
    </r>
    <r>
      <rPr>
        <vertAlign val="superscript"/>
        <sz val="10"/>
        <color indexed="8"/>
        <rFont val="Times New Roman"/>
        <family val="1"/>
      </rPr>
      <t>8</t>
    </r>
  </si>
  <si>
    <t>Public Sector Debt as % of GDP (after consolidation adjustment)</t>
  </si>
  <si>
    <t>Public Sector Debt (Gross) after consolidation adjustment</t>
  </si>
  <si>
    <r>
      <t>Consolidation adjustment (iro Govt Securities held by non-financial public sector entities)</t>
    </r>
    <r>
      <rPr>
        <b/>
        <vertAlign val="superscript"/>
        <sz val="9"/>
        <rFont val="Times New Roman"/>
        <family val="1"/>
      </rPr>
      <t>7</t>
    </r>
  </si>
  <si>
    <t>Public Sector Debt (Gross prior to consolidation adjustment) as % of GDP</t>
  </si>
  <si>
    <t>Public Sector Debt (Gross prior to consolidation adjustment)</t>
  </si>
  <si>
    <t>Public Sector External Debt as % of GDP</t>
  </si>
  <si>
    <t>Public Sector External Debt</t>
  </si>
  <si>
    <t>Public Sector Domestic Debt as % of GDP</t>
  </si>
  <si>
    <t>Public Sector Domestic Debt</t>
  </si>
  <si>
    <t>Public Corporations debt as % of GDP</t>
  </si>
  <si>
    <t xml:space="preserve"> External - Non-Guaranteed</t>
  </si>
  <si>
    <t xml:space="preserve"> External - Guaranteed</t>
  </si>
  <si>
    <t xml:space="preserve"> Domestic-Non-Guaranteed</t>
  </si>
  <si>
    <t xml:space="preserve"> Domestic-Guaranteed</t>
  </si>
  <si>
    <r>
      <t>Public Corporations Total Debt</t>
    </r>
    <r>
      <rPr>
        <b/>
        <vertAlign val="superscript"/>
        <sz val="10"/>
        <rFont val="Times New Roman"/>
        <family val="1"/>
      </rPr>
      <t>6</t>
    </r>
  </si>
  <si>
    <t>General Government Total Debt as % of GDP</t>
  </si>
  <si>
    <t>General Government Total Debt</t>
  </si>
  <si>
    <t xml:space="preserve"> Rodrigues Regional Assembly</t>
  </si>
  <si>
    <t>As percent of GDP</t>
  </si>
  <si>
    <t xml:space="preserve"> External -Guaranteed and non guaranteed</t>
  </si>
  <si>
    <t xml:space="preserve"> Domestic- Non Guaranteed</t>
  </si>
  <si>
    <t xml:space="preserve"> Domestic- Guaranteed</t>
  </si>
  <si>
    <t>Local Government Debt</t>
  </si>
  <si>
    <t>Central Government Total Debt</t>
  </si>
  <si>
    <t xml:space="preserve"> External-Non Guaranteed</t>
  </si>
  <si>
    <t xml:space="preserve"> External-Guaranteed</t>
  </si>
  <si>
    <t xml:space="preserve"> Domestic-Non Guaranteed</t>
  </si>
  <si>
    <t>Total- Extra Budgetary Units</t>
  </si>
  <si>
    <t xml:space="preserve">Budgetary Central Government Total Debt </t>
  </si>
  <si>
    <r>
      <t xml:space="preserve">  - Long term debt liability - IMF SDR Allocations</t>
    </r>
    <r>
      <rPr>
        <i/>
        <vertAlign val="superscript"/>
        <sz val="10"/>
        <rFont val="Times New Roman"/>
        <family val="1"/>
      </rPr>
      <t>5</t>
    </r>
  </si>
  <si>
    <r>
      <t xml:space="preserve">  - Medium &amp; Long Term</t>
    </r>
    <r>
      <rPr>
        <i/>
        <vertAlign val="superscript"/>
        <sz val="10"/>
        <rFont val="Times New Roman"/>
        <family val="1"/>
      </rPr>
      <t>4</t>
    </r>
  </si>
  <si>
    <r>
      <t xml:space="preserve">  - Short Term</t>
    </r>
    <r>
      <rPr>
        <i/>
        <vertAlign val="superscript"/>
        <sz val="10"/>
        <rFont val="Times New Roman"/>
        <family val="1"/>
      </rPr>
      <t>3</t>
    </r>
  </si>
  <si>
    <t xml:space="preserve">Budgetary Central Government External Debt </t>
  </si>
  <si>
    <t>BCG Domestic Debt as percent of GDP</t>
  </si>
  <si>
    <t>Government securities issued for mopping up excess liquidity</t>
  </si>
  <si>
    <t xml:space="preserve">  - Other Long Term Bonds</t>
  </si>
  <si>
    <t xml:space="preserve">  - Five year &amp; Seven year GoM Bonds </t>
  </si>
  <si>
    <r>
      <t xml:space="preserve">  - Treasury Notes</t>
    </r>
    <r>
      <rPr>
        <i/>
        <vertAlign val="superscript"/>
        <sz val="10"/>
        <rFont val="Times New Roman"/>
        <family val="1"/>
      </rPr>
      <t>2</t>
    </r>
  </si>
  <si>
    <t xml:space="preserve">  - Treasury Bills and other short term borrowings</t>
  </si>
  <si>
    <t>Government securities issued for meeting borrowing requirements</t>
  </si>
  <si>
    <t xml:space="preserve">Budgetary Central Government (BCG) Domestic Debt </t>
  </si>
  <si>
    <t>Provisional</t>
  </si>
  <si>
    <t>Actual</t>
  </si>
  <si>
    <t>Sept 2025</t>
  </si>
  <si>
    <t>Jun 2025</t>
  </si>
  <si>
    <t>Mar 2025</t>
  </si>
  <si>
    <t>Dec 2024</t>
  </si>
  <si>
    <t>Sep 2024</t>
  </si>
  <si>
    <t>Jun 2024</t>
  </si>
  <si>
    <t>Mar 2024</t>
  </si>
  <si>
    <t>Dec 2023</t>
  </si>
  <si>
    <t>Sep 2023</t>
  </si>
  <si>
    <t>Jun 2023</t>
  </si>
  <si>
    <t>Mar 2023</t>
  </si>
  <si>
    <t>Dec 2022</t>
  </si>
  <si>
    <t>Sep 2022</t>
  </si>
  <si>
    <t>Jun 2022</t>
  </si>
  <si>
    <t>Mar 2022</t>
  </si>
  <si>
    <t>Dec 2021</t>
  </si>
  <si>
    <t>Sep 2021</t>
  </si>
  <si>
    <t>Jun 2021</t>
  </si>
  <si>
    <t>Mar 2021</t>
  </si>
  <si>
    <t>Dec 2020</t>
  </si>
  <si>
    <t>Sep 2020</t>
  </si>
  <si>
    <t>Jun 2020</t>
  </si>
  <si>
    <t>Mar 2020</t>
  </si>
  <si>
    <t>Dec 2019</t>
  </si>
  <si>
    <t>Sep 2019</t>
  </si>
  <si>
    <t>Jun 2019</t>
  </si>
  <si>
    <t>Mar 2019</t>
  </si>
  <si>
    <t>Dec 2018</t>
  </si>
  <si>
    <t>Sep 2018</t>
  </si>
  <si>
    <t>Jun 2018</t>
  </si>
  <si>
    <t>Mar 2018</t>
  </si>
  <si>
    <t>Dec 2017</t>
  </si>
  <si>
    <t>Sep 2017</t>
  </si>
  <si>
    <t>Jun 2017</t>
  </si>
  <si>
    <t>Mar 2017</t>
  </si>
  <si>
    <t>Dec 2016</t>
  </si>
  <si>
    <t>Sep 2016</t>
  </si>
  <si>
    <t>Jun 2016</t>
  </si>
  <si>
    <t>Mar 2016</t>
  </si>
  <si>
    <t>Dec 2015</t>
  </si>
  <si>
    <t>Sept 2015</t>
  </si>
  <si>
    <t>Jun 2015</t>
  </si>
  <si>
    <t>Jun 2006</t>
  </si>
  <si>
    <t>Jun 2005</t>
  </si>
  <si>
    <t>Jun 2004</t>
  </si>
  <si>
    <t>Jun 2003</t>
  </si>
  <si>
    <t>Debt stock as at end of period (Rs million)</t>
  </si>
  <si>
    <t>TABLE 1 - PUBLIC SECTOR DEBT *</t>
  </si>
  <si>
    <t>Table of Contents</t>
  </si>
  <si>
    <t>Table 1 - Public Sector Debt​​​</t>
  </si>
  <si>
    <t>Table 2 - Gross External Debt Stock​​​</t>
  </si>
  <si>
    <t>Table 3 - Debt Service Ratio​​​​</t>
  </si>
  <si>
    <t>Table 4 - Public Debt Servicing on cash basis​​​​</t>
  </si>
  <si>
    <t>Table 9 - Currency Composition of Budgetary Central Government External Debt​​​​</t>
  </si>
  <si>
    <t>Table 18 - Cost and Risk Indicators​​​​</t>
  </si>
  <si>
    <t>Table 19 - Holdings of Government Securities by Creditor Type​​</t>
  </si>
  <si>
    <t xml:space="preserve">Note: Figures may not add up to totals due to rounding </t>
  </si>
  <si>
    <t>Total</t>
  </si>
  <si>
    <t>Wastewater Management Authority</t>
  </si>
  <si>
    <t>State Trading Corporation</t>
  </si>
  <si>
    <t>Sugar Investment Trust</t>
  </si>
  <si>
    <t>State Investment Corporation Ltd</t>
  </si>
  <si>
    <t>Rose-Belle Sugar Estate Board</t>
  </si>
  <si>
    <t>National Transport Corporation</t>
  </si>
  <si>
    <t>National Property Fund Ltd</t>
  </si>
  <si>
    <t>National Housing Development Co. Ltd</t>
  </si>
  <si>
    <t>MCS Mutual Aid Association Ltd</t>
  </si>
  <si>
    <t>Mauritius Post Ltd</t>
  </si>
  <si>
    <t>Mauritius Housing Company Ltd</t>
  </si>
  <si>
    <t>Mauritius Broadcasting Corporation</t>
  </si>
  <si>
    <t xml:space="preserve">Maufactoring Ltd </t>
  </si>
  <si>
    <t>MauBank Investment Ltd</t>
  </si>
  <si>
    <t>MauBank Holdings Ltd</t>
  </si>
  <si>
    <t>Le Grand Casino Du Domaine Ltee</t>
  </si>
  <si>
    <t xml:space="preserve">Landscope Solar Ltd </t>
  </si>
  <si>
    <t xml:space="preserve">Landscope Mauritius Ltd     </t>
  </si>
  <si>
    <t>Industrial Finance Corporation of Mauritius</t>
  </si>
  <si>
    <t>Grand Baie Casino Ltd</t>
  </si>
  <si>
    <t>Development Bank of Mauritius Ltd</t>
  </si>
  <si>
    <t>Central Water Authority</t>
  </si>
  <si>
    <t>Cyber Properties Investment Ltd</t>
  </si>
  <si>
    <t>Central Electricity Board</t>
  </si>
  <si>
    <t>BPML Freeport Ltd</t>
  </si>
  <si>
    <t>Jet Prime Ltd</t>
  </si>
  <si>
    <t>Airport Terminal Operations Ltd</t>
  </si>
  <si>
    <t>Air Mauritius Ltd</t>
  </si>
  <si>
    <t>Public Corporations</t>
  </si>
  <si>
    <t>Non-Guaranteed</t>
  </si>
  <si>
    <t>Guaranteed</t>
  </si>
  <si>
    <t>Rs million</t>
  </si>
  <si>
    <t>Table 1a - Details of Public Corporations Domestic Debt Stock as at end of period</t>
  </si>
  <si>
    <t>(1) Includes financing for implementation of metro express project</t>
  </si>
  <si>
    <t>13744\.40</t>
  </si>
  <si>
    <t>o/w Metro Express Ltd</t>
  </si>
  <si>
    <r>
      <t>SBM (Mauritius) Infrastructure Development Company Ltd (from EXIM Bank of India for various infrastructure projects)</t>
    </r>
    <r>
      <rPr>
        <vertAlign val="superscript"/>
        <sz val="11"/>
        <color indexed="8"/>
        <rFont val="Times New Roman"/>
        <family val="1"/>
      </rPr>
      <t>1</t>
    </r>
  </si>
  <si>
    <t>Mauritius Telecom Ltd</t>
  </si>
  <si>
    <t>Mauritius Ports Authority</t>
  </si>
  <si>
    <t>Cargo Handling Corporation Ltd</t>
  </si>
  <si>
    <t>Airports of Mauritius Co. Ltd</t>
  </si>
  <si>
    <t>Table 1b - Details of Public Corporations External Debt Stock as at end of period</t>
  </si>
  <si>
    <t xml:space="preserve">Export of Goods  &amp; Services  </t>
  </si>
  <si>
    <t>GDP</t>
  </si>
  <si>
    <t>Note 3 - Debt stocks of 'Other Deposit Taking Institutions' and 'Global Business' are excluded as their debts are matched with almost the same level of asset.</t>
  </si>
  <si>
    <t>Note 2 - Includes debt liabilities of affiliated enterprises of global business</t>
  </si>
  <si>
    <t xml:space="preserve">Note 1 - Includes debt liability in respect of IMF SDR allocations. </t>
  </si>
  <si>
    <t>There is a break in the time series for 'Private Sector debt' as from December 2011 and again as from March 2014. The data for 'private sector' and 'other' are based on foreign assets and liabilities survey carried out by the Bank of Mauritius.</t>
  </si>
  <si>
    <t xml:space="preserve">In line with the recommendation of IMF, the coverage of Gross External Debt has been extended. The cross border transactions of global business entitities are being included as part of Gross External Debt.  To maintain consistency, the external positions of deposit taking institutions and monetary authorities are also included in the Gross External Debt. </t>
  </si>
  <si>
    <t>Debt data for 'Global Business', 'Private Sector' and 'Other' are based on latest External Sector Statistics – National Accounts (ESSNAC) survey results, Foreign Assets and Liabilities (FAL) survey results, Other Financial Corporations (OFC) surveys</t>
  </si>
  <si>
    <t>The figures may not add up to totals due to rounding</t>
  </si>
  <si>
    <t>* source Bank of Mauritius.</t>
  </si>
  <si>
    <r>
      <t xml:space="preserve">External Debt excluding Deposit Taking Institutions and Global Business </t>
    </r>
    <r>
      <rPr>
        <b/>
        <vertAlign val="superscript"/>
        <sz val="10"/>
        <rFont val="Times New Roman"/>
        <family val="1"/>
      </rPr>
      <t>3</t>
    </r>
  </si>
  <si>
    <t>Long Term</t>
  </si>
  <si>
    <t>Short Term</t>
  </si>
  <si>
    <t>Total External Debt</t>
  </si>
  <si>
    <t>Other*</t>
  </si>
  <si>
    <t>Private Sector*</t>
  </si>
  <si>
    <r>
      <t>Long Term</t>
    </r>
    <r>
      <rPr>
        <i/>
        <vertAlign val="superscript"/>
        <sz val="10"/>
        <rFont val="Times New Roman"/>
        <family val="1"/>
      </rPr>
      <t>2</t>
    </r>
  </si>
  <si>
    <t>Global Business*</t>
  </si>
  <si>
    <t>Other Deposit Taking Institutions*</t>
  </si>
  <si>
    <t>Monetary Authorities*</t>
  </si>
  <si>
    <t xml:space="preserve">       - Government Guaranteed</t>
  </si>
  <si>
    <t xml:space="preserve">Extra Budgetary Unit </t>
  </si>
  <si>
    <t xml:space="preserve">       - Non-Guaranteed</t>
  </si>
  <si>
    <t>Public Enterprises</t>
  </si>
  <si>
    <t xml:space="preserve">   o/w IMF SDR Allocations</t>
  </si>
  <si>
    <r>
      <t>Long Term</t>
    </r>
    <r>
      <rPr>
        <i/>
        <vertAlign val="superscript"/>
        <sz val="10"/>
        <rFont val="Times New Roman"/>
        <family val="1"/>
      </rPr>
      <t>1</t>
    </r>
  </si>
  <si>
    <t>Budgetary Central Government</t>
  </si>
  <si>
    <t>Sep 2025</t>
  </si>
  <si>
    <t>Mar 2015</t>
  </si>
  <si>
    <t>Dec 2014</t>
  </si>
  <si>
    <t>Sept 2014</t>
  </si>
  <si>
    <t>Jun 2014</t>
  </si>
  <si>
    <t>Mar 2014</t>
  </si>
  <si>
    <t>Dec 2013</t>
  </si>
  <si>
    <t>Sept 2013</t>
  </si>
  <si>
    <t>Jun 2013</t>
  </si>
  <si>
    <t>Mar 2013</t>
  </si>
  <si>
    <t>Dec 2012</t>
  </si>
  <si>
    <t>Sept 2012</t>
  </si>
  <si>
    <t>Jun 2012</t>
  </si>
  <si>
    <t>Mar 2012</t>
  </si>
  <si>
    <t>Dec 2011</t>
  </si>
  <si>
    <t>Sept 2011</t>
  </si>
  <si>
    <t>June 2011</t>
  </si>
  <si>
    <t>Mar 2011</t>
  </si>
  <si>
    <t>Dec 2010</t>
  </si>
  <si>
    <t>Sept 2010</t>
  </si>
  <si>
    <t>June 2010</t>
  </si>
  <si>
    <t>Mar 2010</t>
  </si>
  <si>
    <t>Dec 2009</t>
  </si>
  <si>
    <t xml:space="preserve">Gross External Debt Stock (end of period) </t>
  </si>
  <si>
    <t>Table 2 - Gross External Debt Stock</t>
  </si>
  <si>
    <t>Exports of goods &amp; non-factor services</t>
  </si>
  <si>
    <t>The data for Private Sector for up to September 2011 are based on information obtained from the banking records. As from December 2011, the data have been obtained through surveys.  However, the data as from 2014 have been obtained from banking records pending finalisation of surveys.</t>
  </si>
  <si>
    <t>Private Sector excludes Global Business and Deposit Taking Institutions</t>
  </si>
  <si>
    <t>1 - Source Bank of Mauritius.</t>
  </si>
  <si>
    <t>Capital repayment for year ended June, September, December 2023 and March 2024 includes repayment of a short-term loan of Rs 11.3 billion in May 2023.</t>
  </si>
  <si>
    <t>Capital repayment for year ended March 2020 to December 2020 includes a prepayment of external loan of Rs 6.4 billion effected in January 2020.</t>
  </si>
  <si>
    <t>Capital repayment for year ended March 2017 to December 2017 includes a prepayment of external loan of Rs 4.2 billion effected in January 2017.</t>
  </si>
  <si>
    <t>Figures may not add up to totals due to rounding</t>
  </si>
  <si>
    <t>Total External Debt Servicing</t>
  </si>
  <si>
    <t xml:space="preserve">  - Interest Payments</t>
  </si>
  <si>
    <r>
      <t>Private Sector</t>
    </r>
    <r>
      <rPr>
        <b/>
        <i/>
        <vertAlign val="superscript"/>
        <sz val="10"/>
        <rFont val="Times New Roman"/>
        <family val="1"/>
      </rPr>
      <t>1</t>
    </r>
  </si>
  <si>
    <t xml:space="preserve">       Management/Service Charges</t>
  </si>
  <si>
    <t xml:space="preserve">  - Interest Payments and </t>
  </si>
  <si>
    <r>
      <t xml:space="preserve">Public Enterprises </t>
    </r>
    <r>
      <rPr>
        <b/>
        <i/>
        <sz val="10"/>
        <rFont val="Times New Roman"/>
        <family val="1"/>
      </rPr>
      <t>(Non-Guaranteed by Govt)</t>
    </r>
  </si>
  <si>
    <r>
      <t xml:space="preserve">Public Enterprises </t>
    </r>
    <r>
      <rPr>
        <b/>
        <i/>
        <sz val="10"/>
        <rFont val="Times New Roman"/>
        <family val="1"/>
      </rPr>
      <t>(Government Guaranteed)</t>
    </r>
  </si>
  <si>
    <t xml:space="preserve">       Management/Service Charges </t>
  </si>
  <si>
    <t xml:space="preserve">Government </t>
  </si>
  <si>
    <t>Year ended 
Sep 2025</t>
  </si>
  <si>
    <t>Year ended 
Jun 2025</t>
  </si>
  <si>
    <t>Year ended 
Mar 2025</t>
  </si>
  <si>
    <t>Year ended 
Dec 2024</t>
  </si>
  <si>
    <t>Year ended 
Sep 2024</t>
  </si>
  <si>
    <t>Year ended 
Jun 2024</t>
  </si>
  <si>
    <t>Year ended 
Mar 2024</t>
  </si>
  <si>
    <t>Year ended 
Dec 2023</t>
  </si>
  <si>
    <t>Year ended 
Sep 2023</t>
  </si>
  <si>
    <t>Year ended 
Jun 2023</t>
  </si>
  <si>
    <t>Year ended 
Mar 2023</t>
  </si>
  <si>
    <t>Year ended 
Dec 2022</t>
  </si>
  <si>
    <t>Year ended 
Sep 2022</t>
  </si>
  <si>
    <t>Year ended 
Jun 2022</t>
  </si>
  <si>
    <t>Year ended 
Mar 2022</t>
  </si>
  <si>
    <t>Year ended 
Dec 2021</t>
  </si>
  <si>
    <t>Year ended 
Sep 2021</t>
  </si>
  <si>
    <t>Year ended 
Jun 2021</t>
  </si>
  <si>
    <t>Year ended 
Mar 2021</t>
  </si>
  <si>
    <t>Year ended 
Dec 2020</t>
  </si>
  <si>
    <t>Year ended 
Sep 2020</t>
  </si>
  <si>
    <t>Year ended 
Jun 2020</t>
  </si>
  <si>
    <t>Year ended 
Mar 2020</t>
  </si>
  <si>
    <t>Year ended 
Dec 2019</t>
  </si>
  <si>
    <t>Year ended 
Sep 2019</t>
  </si>
  <si>
    <t>Year ended 
Jun 2019</t>
  </si>
  <si>
    <t>Year ended 
Mar 2019</t>
  </si>
  <si>
    <t>Year ended 
Dec 2018</t>
  </si>
  <si>
    <t>Year ended 
Sep 2018</t>
  </si>
  <si>
    <t>Year ended 
Jun 2018</t>
  </si>
  <si>
    <t>Year ended 
Mar 2018</t>
  </si>
  <si>
    <t>Year ended 
Dec 2017</t>
  </si>
  <si>
    <t>Year ended 
Sep 2017</t>
  </si>
  <si>
    <t>Year ended 
Jun 2017</t>
  </si>
  <si>
    <t>Year ended 
Mar 2017</t>
  </si>
  <si>
    <t>Year ended 
Dec 2016</t>
  </si>
  <si>
    <t>Year ended 
Sep 2016</t>
  </si>
  <si>
    <t>Year ended 
Jun 2016</t>
  </si>
  <si>
    <t>Year ended 
Mar 2016</t>
  </si>
  <si>
    <t>Year ended 
Dec 2015</t>
  </si>
  <si>
    <t>Year ended 
Sep 2015</t>
  </si>
  <si>
    <t>Year ended 
Jun 2015</t>
  </si>
  <si>
    <t>Year ended 
Mar 2015</t>
  </si>
  <si>
    <t>Year ended 
Dec 2014</t>
  </si>
  <si>
    <t>Year ended 
Sept 2014</t>
  </si>
  <si>
    <t>Year ended 
Jun 2014</t>
  </si>
  <si>
    <t>Year ended 
Mar 2014</t>
  </si>
  <si>
    <t>Year ended 
Dec 2013</t>
  </si>
  <si>
    <t>Year ended 
Sept 2013</t>
  </si>
  <si>
    <t>Year ended 
Jun 2013</t>
  </si>
  <si>
    <t>Year ended 
Mar 2013</t>
  </si>
  <si>
    <t>Year ended 
Dec 2012</t>
  </si>
  <si>
    <t>Year ended 
Sept 2012</t>
  </si>
  <si>
    <t>Year ended 
Jun 2012</t>
  </si>
  <si>
    <t>Year ended 
Mar 2012</t>
  </si>
  <si>
    <t>Year ended 
Dec 2011</t>
  </si>
  <si>
    <t>Year ended 
Dec 2010</t>
  </si>
  <si>
    <t>Jul-Dec 2009</t>
  </si>
  <si>
    <t>Year ended 
Jun 2009</t>
  </si>
  <si>
    <t>Year ended 
Jun 2008</t>
  </si>
  <si>
    <t>Year ended 
Jun 2007</t>
  </si>
  <si>
    <t>Year ended 
Jun 2006</t>
  </si>
  <si>
    <t>Year ended 
Jun 2005</t>
  </si>
  <si>
    <t>Year ended 
Jun 2004</t>
  </si>
  <si>
    <t>Year ended 
Jun 2003</t>
  </si>
  <si>
    <t>Year ended 
Jun 2002</t>
  </si>
  <si>
    <t>Table 3 - Debt Service Ratio</t>
  </si>
  <si>
    <t>The capital repayment for external debt includes prepayment of external loans of Rs 4.2 billion for Quarter 3 of FY 2016/17, Rs 6.4 billion for Quarter 3 of FY 2019/20 and repayment of a short-term loan of Rs 11.3 billion for Quarter 4 of FY 2022/23</t>
  </si>
  <si>
    <t xml:space="preserve">        2: Treasury Bills and other short term borrowings</t>
  </si>
  <si>
    <t>Note 1: Government of Mauritius Bonds with original maturities of 5 years and above</t>
  </si>
  <si>
    <t>Total Public Debt Servicing</t>
  </si>
  <si>
    <t>Total Interest Payments</t>
  </si>
  <si>
    <t>Subtotal - Domestic</t>
  </si>
  <si>
    <r>
      <t>- Long Term</t>
    </r>
    <r>
      <rPr>
        <i/>
        <vertAlign val="superscript"/>
        <sz val="10"/>
        <color indexed="8"/>
        <rFont val="Times New Roman"/>
        <family val="1"/>
      </rPr>
      <t>6</t>
    </r>
    <r>
      <rPr>
        <i/>
        <sz val="10"/>
        <color indexed="8"/>
        <rFont val="Times New Roman"/>
        <family val="1"/>
      </rPr>
      <t xml:space="preserve"> </t>
    </r>
  </si>
  <si>
    <r>
      <t>- Medium Term</t>
    </r>
    <r>
      <rPr>
        <i/>
        <vertAlign val="superscript"/>
        <sz val="10"/>
        <color indexed="8"/>
        <rFont val="Times New Roman"/>
        <family val="1"/>
      </rPr>
      <t>5</t>
    </r>
    <r>
      <rPr>
        <i/>
        <sz val="10"/>
        <color indexed="8"/>
        <rFont val="Times New Roman"/>
        <family val="1"/>
      </rPr>
      <t xml:space="preserve"> </t>
    </r>
  </si>
  <si>
    <r>
      <t>- Short Term</t>
    </r>
    <r>
      <rPr>
        <i/>
        <vertAlign val="superscript"/>
        <sz val="10"/>
        <color indexed="8"/>
        <rFont val="Times New Roman"/>
        <family val="1"/>
      </rPr>
      <t>4</t>
    </r>
    <r>
      <rPr>
        <i/>
        <sz val="10"/>
        <color indexed="8"/>
        <rFont val="Times New Roman"/>
        <family val="1"/>
      </rPr>
      <t xml:space="preserve"> </t>
    </r>
  </si>
  <si>
    <t>Interest on Government securities issued for Mopping up Excess Liquidity</t>
  </si>
  <si>
    <r>
      <t>- Long Term</t>
    </r>
    <r>
      <rPr>
        <i/>
        <vertAlign val="superscript"/>
        <sz val="10"/>
        <color indexed="8"/>
        <rFont val="Times New Roman"/>
        <family val="1"/>
      </rPr>
      <t>1</t>
    </r>
    <r>
      <rPr>
        <i/>
        <sz val="10"/>
        <color indexed="8"/>
        <rFont val="Times New Roman"/>
        <family val="1"/>
      </rPr>
      <t xml:space="preserve"> </t>
    </r>
  </si>
  <si>
    <r>
      <t>- Medium Term</t>
    </r>
    <r>
      <rPr>
        <i/>
        <vertAlign val="superscript"/>
        <sz val="10"/>
        <color indexed="8"/>
        <rFont val="Times New Roman"/>
        <family val="1"/>
      </rPr>
      <t>3</t>
    </r>
    <r>
      <rPr>
        <i/>
        <sz val="10"/>
        <color indexed="8"/>
        <rFont val="Times New Roman"/>
        <family val="1"/>
      </rPr>
      <t xml:space="preserve"> </t>
    </r>
  </si>
  <si>
    <r>
      <t>- Short Term</t>
    </r>
    <r>
      <rPr>
        <i/>
        <vertAlign val="superscript"/>
        <sz val="10"/>
        <color indexed="8"/>
        <rFont val="Times New Roman"/>
        <family val="1"/>
      </rPr>
      <t>2</t>
    </r>
    <r>
      <rPr>
        <i/>
        <sz val="10"/>
        <color indexed="8"/>
        <rFont val="Times New Roman"/>
        <family val="1"/>
      </rPr>
      <t xml:space="preserve"> </t>
    </r>
  </si>
  <si>
    <t>Interest</t>
  </si>
  <si>
    <t xml:space="preserve">          </t>
  </si>
  <si>
    <r>
      <t>Capital Repayments  (Long term</t>
    </r>
    <r>
      <rPr>
        <vertAlign val="superscript"/>
        <sz val="10"/>
        <color indexed="8"/>
        <rFont val="Times New Roman"/>
        <family val="1"/>
      </rPr>
      <t>1</t>
    </r>
    <r>
      <rPr>
        <sz val="10"/>
        <color indexed="8"/>
        <rFont val="Times New Roman"/>
        <family val="1"/>
      </rPr>
      <t>)</t>
    </r>
  </si>
  <si>
    <t>DOMESTIC DEBT</t>
  </si>
  <si>
    <t>Subtotal - External</t>
  </si>
  <si>
    <t>Management/Service Charges</t>
  </si>
  <si>
    <t>Capital Repayments</t>
  </si>
  <si>
    <t>EXTERNAL DEBT</t>
  </si>
  <si>
    <t>Quarter 1</t>
  </si>
  <si>
    <t>Quarter 4</t>
  </si>
  <si>
    <t>Quarter 3</t>
  </si>
  <si>
    <t>Quarter 2</t>
  </si>
  <si>
    <t xml:space="preserve">Quarter 4 </t>
  </si>
  <si>
    <t xml:space="preserve">Quarter 2 </t>
  </si>
  <si>
    <t>FY 2025/26</t>
  </si>
  <si>
    <t xml:space="preserve"> Year 2024/25</t>
  </si>
  <si>
    <t>FY 2024/25</t>
  </si>
  <si>
    <t xml:space="preserve"> Year 2023/24</t>
  </si>
  <si>
    <t>2023/24</t>
  </si>
  <si>
    <t xml:space="preserve"> Year 2022/23</t>
  </si>
  <si>
    <t>2022/23</t>
  </si>
  <si>
    <t xml:space="preserve"> Year 2021/22</t>
  </si>
  <si>
    <t>2021/22</t>
  </si>
  <si>
    <t xml:space="preserve"> Year 2020/21</t>
  </si>
  <si>
    <t>2020/21</t>
  </si>
  <si>
    <t xml:space="preserve"> Year 2019/20</t>
  </si>
  <si>
    <t>2019/20</t>
  </si>
  <si>
    <t xml:space="preserve"> Year 2018/19</t>
  </si>
  <si>
    <t>2018/19</t>
  </si>
  <si>
    <t xml:space="preserve"> Year 2017/18
</t>
  </si>
  <si>
    <t>2017/18</t>
  </si>
  <si>
    <t xml:space="preserve"> Year 2016/17
</t>
  </si>
  <si>
    <t>2016/17</t>
  </si>
  <si>
    <t xml:space="preserve"> Year 2015/16
</t>
  </si>
  <si>
    <t>2015/16</t>
  </si>
  <si>
    <t xml:space="preserve"> Jan - June 2015</t>
  </si>
  <si>
    <t>Year 2014</t>
  </si>
  <si>
    <t>Year 2013</t>
  </si>
  <si>
    <t>Year 2012</t>
  </si>
  <si>
    <t>Year 2011</t>
  </si>
  <si>
    <t>Year 2010</t>
  </si>
  <si>
    <t xml:space="preserve">Table 4 - Public Debt Servicing on Cash Basis </t>
  </si>
  <si>
    <t>(5) - Figures exclude consolidation adjustment</t>
  </si>
  <si>
    <t>(4) - Includes Treasury Notes and Five-Year GOM Bonds</t>
  </si>
  <si>
    <t>(3) - Include borrowing from Road Development Authority &amp; Special Funds</t>
  </si>
  <si>
    <t>(2) - Long term debt liability in respect of IMF SDR allocations</t>
  </si>
  <si>
    <t>Note: figures may not add up to totals due to rounding</t>
  </si>
  <si>
    <r>
      <t>Budgetary Central Government Total Debt</t>
    </r>
    <r>
      <rPr>
        <b/>
        <vertAlign val="superscript"/>
        <sz val="11"/>
        <rFont val="Times New Roman"/>
        <family val="1"/>
      </rPr>
      <t>5</t>
    </r>
  </si>
  <si>
    <t xml:space="preserve">    Up to 5 years </t>
  </si>
  <si>
    <t xml:space="preserve">  Medium and Long Term </t>
  </si>
  <si>
    <t xml:space="preserve">        364 days (incl. one-year Savings certificates)</t>
  </si>
  <si>
    <t xml:space="preserve">        273 days</t>
  </si>
  <si>
    <t xml:space="preserve">        182 days</t>
  </si>
  <si>
    <t xml:space="preserve">         91 days</t>
  </si>
  <si>
    <t xml:space="preserve">     Treasury Bills</t>
  </si>
  <si>
    <t xml:space="preserve">  Short Term</t>
  </si>
  <si>
    <t>Government Securities issued for mopping up excess liquidity</t>
  </si>
  <si>
    <t>&gt; 15 - 20 years</t>
  </si>
  <si>
    <t>&gt; 10 - 15 years</t>
  </si>
  <si>
    <t>&gt; 5 - 10 years</t>
  </si>
  <si>
    <r>
      <t xml:space="preserve">    Up to 5 years</t>
    </r>
    <r>
      <rPr>
        <i/>
        <vertAlign val="superscript"/>
        <sz val="12"/>
        <rFont val="Times New Roman"/>
        <family val="1"/>
      </rPr>
      <t>4</t>
    </r>
  </si>
  <si>
    <t xml:space="preserve">             *</t>
  </si>
  <si>
    <r>
      <t>Other</t>
    </r>
    <r>
      <rPr>
        <i/>
        <vertAlign val="superscript"/>
        <sz val="12"/>
        <rFont val="Times New Roman"/>
        <family val="1"/>
      </rPr>
      <t>3</t>
    </r>
  </si>
  <si>
    <t>Advances from Banks</t>
  </si>
  <si>
    <t>-</t>
  </si>
  <si>
    <t xml:space="preserve">     Advances from Bank of Mauritius</t>
  </si>
  <si>
    <t xml:space="preserve">        728 days</t>
  </si>
  <si>
    <t xml:space="preserve">        364 days</t>
  </si>
  <si>
    <t xml:space="preserve">        119 days</t>
  </si>
  <si>
    <t>Treasury Bills &amp; Other Short Term Borrowings</t>
  </si>
  <si>
    <t>Debt for meeting Government Borrowing Requirements</t>
  </si>
  <si>
    <r>
      <t xml:space="preserve">   o/w IMF SDR Allocations </t>
    </r>
    <r>
      <rPr>
        <i/>
        <vertAlign val="superscript"/>
        <sz val="10"/>
        <rFont val="Times New Roman"/>
        <family val="1"/>
      </rPr>
      <t>2</t>
    </r>
  </si>
  <si>
    <t>&gt; 15 years</t>
  </si>
  <si>
    <t xml:space="preserve">   Long Term</t>
  </si>
  <si>
    <r>
      <t xml:space="preserve">   Short and Medium Term </t>
    </r>
    <r>
      <rPr>
        <vertAlign val="superscript"/>
        <sz val="12"/>
        <rFont val="Times New Roman"/>
        <family val="1"/>
      </rPr>
      <t>1</t>
    </r>
  </si>
  <si>
    <t xml:space="preserve">EXTERNAL DEBT </t>
  </si>
  <si>
    <t>Sept-25</t>
  </si>
  <si>
    <t>Jun-25</t>
  </si>
  <si>
    <t>Mar-25</t>
  </si>
  <si>
    <t>Dec-24</t>
  </si>
  <si>
    <t>Sep-24</t>
  </si>
  <si>
    <t>Jun-24</t>
  </si>
  <si>
    <t>Mar-24</t>
  </si>
  <si>
    <t>Dec-23</t>
  </si>
  <si>
    <t>Sep-23</t>
  </si>
  <si>
    <t>Jun-23</t>
  </si>
  <si>
    <t>Mar-23</t>
  </si>
  <si>
    <t>Dec-22</t>
  </si>
  <si>
    <t>Sep-22</t>
  </si>
  <si>
    <t>Jun-22</t>
  </si>
  <si>
    <t>Mar-22</t>
  </si>
  <si>
    <t>Dec-21</t>
  </si>
  <si>
    <t>Sep-21</t>
  </si>
  <si>
    <t>Jun-21</t>
  </si>
  <si>
    <t>Mar-21</t>
  </si>
  <si>
    <t>Dec-20</t>
  </si>
  <si>
    <t>Sep-20</t>
  </si>
  <si>
    <t>Jun-20</t>
  </si>
  <si>
    <t>Mar-20</t>
  </si>
  <si>
    <t>Dec-19</t>
  </si>
  <si>
    <t>Sep-19</t>
  </si>
  <si>
    <t>Jun-19</t>
  </si>
  <si>
    <t>Mar-19</t>
  </si>
  <si>
    <t>Dec-18</t>
  </si>
  <si>
    <t>Sep-18</t>
  </si>
  <si>
    <t>Jun-18</t>
  </si>
  <si>
    <t>Mar-18</t>
  </si>
  <si>
    <t>Dec-17</t>
  </si>
  <si>
    <t>Sep-17</t>
  </si>
  <si>
    <t>Jun-17</t>
  </si>
  <si>
    <t>Mar-17</t>
  </si>
  <si>
    <t>Dec-16</t>
  </si>
  <si>
    <t>Sep-16</t>
  </si>
  <si>
    <t>Jun-16</t>
  </si>
  <si>
    <t>Mar-16</t>
  </si>
  <si>
    <t>Dec-15</t>
  </si>
  <si>
    <t>Sep-15</t>
  </si>
  <si>
    <t>Jun-15</t>
  </si>
  <si>
    <t>Mar-15</t>
  </si>
  <si>
    <t>Maturity</t>
  </si>
  <si>
    <t>(as at end of period)</t>
  </si>
  <si>
    <t>Table 5 - Budgetary Central Government Outstanding Debt by Original Maturity</t>
  </si>
  <si>
    <t xml:space="preserve">Total Public Corporations </t>
  </si>
  <si>
    <t>Over 10 years</t>
  </si>
  <si>
    <t xml:space="preserve"> &gt; 5 - 10 years</t>
  </si>
  <si>
    <t xml:space="preserve">    Up to 5 years</t>
  </si>
  <si>
    <t>Over 10 Years</t>
  </si>
  <si>
    <t xml:space="preserve">Government Guaranteed </t>
  </si>
  <si>
    <t xml:space="preserve">Sept-25
</t>
  </si>
  <si>
    <t xml:space="preserve">Jun-25
</t>
  </si>
  <si>
    <t xml:space="preserve">Mar-25
</t>
  </si>
  <si>
    <t xml:space="preserve">Dec-24
</t>
  </si>
  <si>
    <t>Sept-15</t>
  </si>
  <si>
    <t>as at end of period</t>
  </si>
  <si>
    <t>Table 6 - Public Corporations Outstanding External Debt by Original Maturity</t>
  </si>
  <si>
    <t xml:space="preserve">            </t>
  </si>
  <si>
    <t>1 - Represent capital repayment due</t>
  </si>
  <si>
    <t xml:space="preserve">Note: All figures are as at end of the period </t>
  </si>
  <si>
    <t>&gt; 5 years</t>
  </si>
  <si>
    <t>&gt; 1 - 5 years</t>
  </si>
  <si>
    <t>Up to 1 year</t>
  </si>
  <si>
    <t xml:space="preserve">Total </t>
  </si>
  <si>
    <t xml:space="preserve">Up to 1 year </t>
  </si>
  <si>
    <t>TOTAL</t>
  </si>
  <si>
    <t>FY2044/45</t>
  </si>
  <si>
    <t>FY2043/44</t>
  </si>
  <si>
    <t>FY2042/43</t>
  </si>
  <si>
    <t>FY2041/42</t>
  </si>
  <si>
    <t>FY2040/41</t>
  </si>
  <si>
    <r>
      <t xml:space="preserve">  FY2039/40 </t>
    </r>
    <r>
      <rPr>
        <vertAlign val="superscript"/>
        <sz val="12"/>
        <color indexed="8"/>
        <rFont val="Times New Roman"/>
        <family val="1"/>
      </rPr>
      <t>1</t>
    </r>
  </si>
  <si>
    <t>FY2038/39</t>
  </si>
  <si>
    <t>FY2037/38</t>
  </si>
  <si>
    <t>FY2036/37</t>
  </si>
  <si>
    <t>FY2035/36</t>
  </si>
  <si>
    <t>FY2034/35</t>
  </si>
  <si>
    <t>FY2033/34</t>
  </si>
  <si>
    <t>FY2032/33</t>
  </si>
  <si>
    <t>FY2031/32</t>
  </si>
  <si>
    <t>FY2030/31</t>
  </si>
  <si>
    <t>FY2029/30</t>
  </si>
  <si>
    <t>FY2028/29</t>
  </si>
  <si>
    <t>FY2027/28</t>
  </si>
  <si>
    <t>FY2026/27</t>
  </si>
  <si>
    <t>Inflation Indexed Bonds (15-Year)</t>
  </si>
  <si>
    <t>Long Term Bonds</t>
  </si>
  <si>
    <t>5 Year &amp; 7 Year Bonds</t>
  </si>
  <si>
    <t xml:space="preserve">Treasury Notes </t>
  </si>
  <si>
    <t>Advances</t>
  </si>
  <si>
    <t>YEAR</t>
  </si>
  <si>
    <t xml:space="preserve"> TABLE 8 - BUDGETARY CENTRAL GOVERNMENT DOMESTIC DEBT BY RESIDUAL MATURITIES</t>
  </si>
  <si>
    <t xml:space="preserve">(2) Represent investments held by non-residents in Government Securities </t>
  </si>
  <si>
    <t>(1) Include long term debt liability in respect of IMF SDR Allocations</t>
  </si>
  <si>
    <t>Note: FC - Foreign currencies</t>
  </si>
  <si>
    <r>
      <t>Mauritian Rupees</t>
    </r>
    <r>
      <rPr>
        <vertAlign val="superscript"/>
        <sz val="11"/>
        <rFont val="Times New Roman"/>
        <family val="1"/>
      </rPr>
      <t>2</t>
    </r>
  </si>
  <si>
    <t>Kuwaiti Dinar</t>
  </si>
  <si>
    <t>Saudi Riyals</t>
  </si>
  <si>
    <t>African units of Account</t>
  </si>
  <si>
    <t>Swiss Franc</t>
  </si>
  <si>
    <t>Chinese Yuan</t>
  </si>
  <si>
    <t>Indian Rupee</t>
  </si>
  <si>
    <t>Saudi Riyal</t>
  </si>
  <si>
    <t>ADB Units of Account</t>
  </si>
  <si>
    <r>
      <t>Special Drawing Rights</t>
    </r>
    <r>
      <rPr>
        <vertAlign val="superscript"/>
        <sz val="11"/>
        <rFont val="Times New Roman"/>
        <family val="1"/>
      </rPr>
      <t>1</t>
    </r>
  </si>
  <si>
    <t>Euro</t>
  </si>
  <si>
    <t>Japanese Yen</t>
  </si>
  <si>
    <t>Pound Sterling</t>
  </si>
  <si>
    <t>United States Dollar</t>
  </si>
  <si>
    <t>%</t>
  </si>
  <si>
    <t>Rs (M)</t>
  </si>
  <si>
    <t>FC (M)</t>
  </si>
  <si>
    <t xml:space="preserve">End Jun </t>
  </si>
  <si>
    <t xml:space="preserve">End March </t>
  </si>
  <si>
    <t xml:space="preserve">End Dec </t>
  </si>
  <si>
    <t xml:space="preserve">End Sep </t>
  </si>
  <si>
    <t>End June</t>
  </si>
  <si>
    <t>End March</t>
  </si>
  <si>
    <t>End December</t>
  </si>
  <si>
    <t>End September</t>
  </si>
  <si>
    <t xml:space="preserve">End December </t>
  </si>
  <si>
    <t xml:space="preserve">End September </t>
  </si>
  <si>
    <t xml:space="preserve">End June </t>
  </si>
  <si>
    <t>End Dec</t>
  </si>
  <si>
    <t xml:space="preserve">End Sept </t>
  </si>
  <si>
    <t xml:space="preserve">End June  </t>
  </si>
  <si>
    <t xml:space="preserve">End DECEMBER </t>
  </si>
  <si>
    <t>End SEPTEMBER</t>
  </si>
  <si>
    <t>End JUNE</t>
  </si>
  <si>
    <t>Currency</t>
  </si>
  <si>
    <t>(in million (M) of Foreign currencies and Rupees)</t>
  </si>
  <si>
    <t xml:space="preserve">TABLE 9 - CURRENCY COMPOSITION OF BUDGETARY CENTRAL GOVERNMENT EXTERNAL DEBT </t>
  </si>
  <si>
    <t xml:space="preserve"> </t>
  </si>
  <si>
    <t>Gross Total</t>
  </si>
  <si>
    <t>Malaysian Ringgit</t>
  </si>
  <si>
    <t>Mauritian Rupees</t>
  </si>
  <si>
    <t>United Arab Emirates Dirham</t>
  </si>
  <si>
    <t>Government Guaranteed</t>
  </si>
  <si>
    <t>End Sept</t>
  </si>
  <si>
    <t xml:space="preserve">End Dec 10 </t>
  </si>
  <si>
    <t xml:space="preserve">End Sept 10 </t>
  </si>
  <si>
    <t xml:space="preserve">End June 10 </t>
  </si>
  <si>
    <t>End March 10</t>
  </si>
  <si>
    <t>[in million (M) of Foreign currencies (FC) and Rupees (Rs)]</t>
  </si>
  <si>
    <t xml:space="preserve">TABLE 10 - CURRENCY COMPOSITION OF PUBLIC CORPORATIONS EXTERNAL DEBT </t>
  </si>
  <si>
    <t>All figures are as at end of the period</t>
  </si>
  <si>
    <t>2 Long term debt liability in respect of IMF SDR allocations</t>
  </si>
  <si>
    <t>1 Exclude Extra Budgetary Units</t>
  </si>
  <si>
    <t xml:space="preserve">   Multilateral </t>
  </si>
  <si>
    <t xml:space="preserve">   Bilateral</t>
  </si>
  <si>
    <r>
      <t xml:space="preserve">   o/w IMF SDR Allocations</t>
    </r>
    <r>
      <rPr>
        <i/>
        <vertAlign val="superscript"/>
        <sz val="10"/>
        <rFont val="Times New Roman"/>
        <family val="1"/>
      </rPr>
      <t>2</t>
    </r>
  </si>
  <si>
    <t>Table 11 - Budgetary Central Government and Public Corporations
External Debt by Borrower and Creditor Category</t>
  </si>
  <si>
    <t>1 - Includes long term debt liability in respect of IMF SDR allocations</t>
  </si>
  <si>
    <t>Outstanding Debt (Rs M)</t>
  </si>
  <si>
    <t>Total Public Sector</t>
  </si>
  <si>
    <r>
      <t>Budgetary Central Government</t>
    </r>
    <r>
      <rPr>
        <b/>
        <vertAlign val="superscript"/>
        <sz val="11"/>
        <rFont val="Times New Roman"/>
        <family val="1"/>
      </rPr>
      <t>1</t>
    </r>
  </si>
  <si>
    <t>Free</t>
  </si>
  <si>
    <t>Floating</t>
  </si>
  <si>
    <t>Fixed</t>
  </si>
  <si>
    <t xml:space="preserve">Jun-25 </t>
  </si>
  <si>
    <t xml:space="preserve">Mar-25 </t>
  </si>
  <si>
    <t xml:space="preserve">Dec-24 </t>
  </si>
  <si>
    <t xml:space="preserve">Sep 2024 </t>
  </si>
  <si>
    <t>June 2024</t>
  </si>
  <si>
    <t xml:space="preserve">March 2024 </t>
  </si>
  <si>
    <t>December 2023</t>
  </si>
  <si>
    <t>September 2023</t>
  </si>
  <si>
    <t>June 2023</t>
  </si>
  <si>
    <t>March 2023</t>
  </si>
  <si>
    <t>December 2022</t>
  </si>
  <si>
    <t>September 2022</t>
  </si>
  <si>
    <t>June 2022</t>
  </si>
  <si>
    <t>March 2022</t>
  </si>
  <si>
    <t>December 2021</t>
  </si>
  <si>
    <t>September 2021</t>
  </si>
  <si>
    <t>June 2021</t>
  </si>
  <si>
    <t>March 2021</t>
  </si>
  <si>
    <t>December 2020</t>
  </si>
  <si>
    <t>September 2020</t>
  </si>
  <si>
    <t>June 2020</t>
  </si>
  <si>
    <t>March 2020</t>
  </si>
  <si>
    <t>December 2019</t>
  </si>
  <si>
    <t>September 2019</t>
  </si>
  <si>
    <t>June 2019</t>
  </si>
  <si>
    <t>March 2019</t>
  </si>
  <si>
    <t>December 2018</t>
  </si>
  <si>
    <t>September 2018</t>
  </si>
  <si>
    <t xml:space="preserve">June 2018 </t>
  </si>
  <si>
    <t xml:space="preserve">March 2018 </t>
  </si>
  <si>
    <t xml:space="preserve">December 2017 </t>
  </si>
  <si>
    <t xml:space="preserve">September 2017 </t>
  </si>
  <si>
    <t>June 2017</t>
  </si>
  <si>
    <t>March 2017</t>
  </si>
  <si>
    <t xml:space="preserve">December 2016 </t>
  </si>
  <si>
    <t xml:space="preserve">September 2016 </t>
  </si>
  <si>
    <t xml:space="preserve">June 2016 </t>
  </si>
  <si>
    <t>March 2016</t>
  </si>
  <si>
    <t>December 2015</t>
  </si>
  <si>
    <t>September 2015</t>
  </si>
  <si>
    <t>June 2015</t>
  </si>
  <si>
    <t xml:space="preserve"> March 2015</t>
  </si>
  <si>
    <t>December 2014</t>
  </si>
  <si>
    <t>September 2014</t>
  </si>
  <si>
    <t xml:space="preserve">June 2014  </t>
  </si>
  <si>
    <t xml:space="preserve">March 2014 </t>
  </si>
  <si>
    <t>December 2013</t>
  </si>
  <si>
    <t>September 2013</t>
  </si>
  <si>
    <t>June 2013</t>
  </si>
  <si>
    <t>March 2013</t>
  </si>
  <si>
    <t xml:space="preserve"> December 2012 </t>
  </si>
  <si>
    <t xml:space="preserve"> September 2012 </t>
  </si>
  <si>
    <t xml:space="preserve"> June 2012 </t>
  </si>
  <si>
    <t xml:space="preserve">March 2012 </t>
  </si>
  <si>
    <t xml:space="preserve">Dec-11 </t>
  </si>
  <si>
    <t xml:space="preserve">Sep-11 </t>
  </si>
  <si>
    <t xml:space="preserve">Jun-11 </t>
  </si>
  <si>
    <t xml:space="preserve">Mar-11 </t>
  </si>
  <si>
    <t xml:space="preserve">Dec-10 </t>
  </si>
  <si>
    <t>Sep-10</t>
  </si>
  <si>
    <t>Jun-10</t>
  </si>
  <si>
    <t>Mar-10</t>
  </si>
  <si>
    <t>Dec-09</t>
  </si>
  <si>
    <t>Sep-09</t>
  </si>
  <si>
    <t>Jun-09</t>
  </si>
  <si>
    <t>Table 12 - Interest Rate Mix of Budgetary Central Government and Public Corporations External Debt</t>
  </si>
  <si>
    <t xml:space="preserve">Figures may not add up to totals due to rounding </t>
  </si>
  <si>
    <t xml:space="preserve">Note 1: Include Extra Budgetary Units </t>
  </si>
  <si>
    <t>Other</t>
  </si>
  <si>
    <t xml:space="preserve">   Non-Guaranteed</t>
  </si>
  <si>
    <t xml:space="preserve">  Government Guaranteed </t>
  </si>
  <si>
    <t xml:space="preserve">     Other</t>
  </si>
  <si>
    <t xml:space="preserve">   Government Guaranteed </t>
  </si>
  <si>
    <t xml:space="preserve">      Pension Funds</t>
  </si>
  <si>
    <t xml:space="preserve">      Insurance Companies</t>
  </si>
  <si>
    <t xml:space="preserve">         of which</t>
  </si>
  <si>
    <t>Non Bank Financial Institutions</t>
  </si>
  <si>
    <t xml:space="preserve"> Banks</t>
  </si>
  <si>
    <t>Total Public Corporations</t>
  </si>
  <si>
    <t>Jun-25 Actual</t>
  </si>
  <si>
    <t>Mar-25 Actual</t>
  </si>
  <si>
    <t>Dec-24 
Actual</t>
  </si>
  <si>
    <t>Sep-24 Actual</t>
  </si>
  <si>
    <t>Jun-24 Actual</t>
  </si>
  <si>
    <t>Mar-24 Actual</t>
  </si>
  <si>
    <t>Dec-23 Actual</t>
  </si>
  <si>
    <t>Sep-23 Actual</t>
  </si>
  <si>
    <t>Jun-23 Actual</t>
  </si>
  <si>
    <t>Mar-23 Actual</t>
  </si>
  <si>
    <t>Dec-22 Actual</t>
  </si>
  <si>
    <t>Sep-22 Actual</t>
  </si>
  <si>
    <t>Jun-22 Actual</t>
  </si>
  <si>
    <t>Mar-22 Actual</t>
  </si>
  <si>
    <t>Dec-21 Actual</t>
  </si>
  <si>
    <t>Sep-21 Actual</t>
  </si>
  <si>
    <t>Jun-21 Actual</t>
  </si>
  <si>
    <t>Mar-21 Actual</t>
  </si>
  <si>
    <t>Dec-20 Actual</t>
  </si>
  <si>
    <t>Sep-20 Actual</t>
  </si>
  <si>
    <t>Jun-20 Actual</t>
  </si>
  <si>
    <t>Mar-20 Actual</t>
  </si>
  <si>
    <t>Dec-19 Actual</t>
  </si>
  <si>
    <t>Sep-19 Actual</t>
  </si>
  <si>
    <t>Jun-19 Actual</t>
  </si>
  <si>
    <t>Mar-19 Actual</t>
  </si>
  <si>
    <t>Dec-18 Actual</t>
  </si>
  <si>
    <t>Sep-18 Actual</t>
  </si>
  <si>
    <t>Jun-18 Actual</t>
  </si>
  <si>
    <t>Mar-18 Actual</t>
  </si>
  <si>
    <t>Dec-17 Actual</t>
  </si>
  <si>
    <t>Sep-17 Actual</t>
  </si>
  <si>
    <t>Jun-17 Actual</t>
  </si>
  <si>
    <t>Mar-17 Actual</t>
  </si>
  <si>
    <t>Dec-16 Actual</t>
  </si>
  <si>
    <t>Sep-16 Actual</t>
  </si>
  <si>
    <t>Jun-16 Actual</t>
  </si>
  <si>
    <t>Mar-16 Actual</t>
  </si>
  <si>
    <t>Dec-15 Actual</t>
  </si>
  <si>
    <t>Sep-15 Actual</t>
  </si>
  <si>
    <t>Jun-15 Actual</t>
  </si>
  <si>
    <t>Mar-15 Actual</t>
  </si>
  <si>
    <t>Dec-14 Actual</t>
  </si>
  <si>
    <t>Sep-14 Actual</t>
  </si>
  <si>
    <t>Jun-14 Actual</t>
  </si>
  <si>
    <t>Mar-14 Actual</t>
  </si>
  <si>
    <t>Dec-13 Actual</t>
  </si>
  <si>
    <t>Sep-13 Actual</t>
  </si>
  <si>
    <t>Jun-13 Actual</t>
  </si>
  <si>
    <t>Mar-13 Actual</t>
  </si>
  <si>
    <t>Dec-12 Actual</t>
  </si>
  <si>
    <t>Sep-12 Actual</t>
  </si>
  <si>
    <t>Jun-12 Actual</t>
  </si>
  <si>
    <t>Mar-12 Actual</t>
  </si>
  <si>
    <r>
      <t>Table 13 - Public Corporations</t>
    </r>
    <r>
      <rPr>
        <b/>
        <vertAlign val="superscript"/>
        <sz val="12"/>
        <rFont val="Times New Roman"/>
        <family val="1"/>
      </rPr>
      <t>1</t>
    </r>
    <r>
      <rPr>
        <b/>
        <sz val="12"/>
        <rFont val="Times New Roman"/>
        <family val="1"/>
      </rPr>
      <t xml:space="preserve"> Outstanding Domestic Debt by Creditor Category</t>
    </r>
  </si>
  <si>
    <t>(1) Includes Extra Budgetary Units</t>
  </si>
  <si>
    <t>Government Guaranteed *</t>
  </si>
  <si>
    <t>Jun 25 Actual</t>
  </si>
  <si>
    <t>Mar 25 Actual</t>
  </si>
  <si>
    <t>Dec 24 
Actual</t>
  </si>
  <si>
    <t>Sep-24 
Actual</t>
  </si>
  <si>
    <t>June-15 Actual</t>
  </si>
  <si>
    <r>
      <t>Table 14 -  Public Corporations</t>
    </r>
    <r>
      <rPr>
        <b/>
        <vertAlign val="superscript"/>
        <sz val="12"/>
        <rFont val="Times New Roman"/>
        <family val="1"/>
      </rPr>
      <t>1</t>
    </r>
    <r>
      <rPr>
        <b/>
        <sz val="12"/>
        <rFont val="Times New Roman"/>
        <family val="1"/>
      </rPr>
      <t xml:space="preserve"> Outstanding Domestic Debt by Original Maturities</t>
    </r>
  </si>
  <si>
    <t>Note 1: Include Extra Budgetary Units and Local Government</t>
  </si>
  <si>
    <t xml:space="preserve">End Mar </t>
  </si>
  <si>
    <r>
      <t>Table 15 - Currency Composition of Public Corporations</t>
    </r>
    <r>
      <rPr>
        <b/>
        <vertAlign val="superscript"/>
        <sz val="12"/>
        <rFont val="Times New Roman"/>
        <family val="1"/>
      </rPr>
      <t>1</t>
    </r>
    <r>
      <rPr>
        <b/>
        <sz val="12"/>
        <rFont val="Times New Roman"/>
        <family val="1"/>
      </rPr>
      <t xml:space="preserve"> Outstanding Domestic Debt</t>
    </r>
  </si>
  <si>
    <t>Outstanding (Rs million)</t>
  </si>
  <si>
    <t xml:space="preserve">Sep-24 </t>
  </si>
  <si>
    <t xml:space="preserve">Jun-24 </t>
  </si>
  <si>
    <t xml:space="preserve">Jun-22  </t>
  </si>
  <si>
    <t xml:space="preserve">Jun-21 </t>
  </si>
  <si>
    <t xml:space="preserve">Mar-19 </t>
  </si>
  <si>
    <t xml:space="preserve">Dec-18 </t>
  </si>
  <si>
    <t xml:space="preserve">Sep-18 </t>
  </si>
  <si>
    <t xml:space="preserve">Jun-18 </t>
  </si>
  <si>
    <t xml:space="preserve">Mar-18 </t>
  </si>
  <si>
    <t xml:space="preserve">Dec-17 </t>
  </si>
  <si>
    <t xml:space="preserve">Sep-17 </t>
  </si>
  <si>
    <t xml:space="preserve">Jun-17 </t>
  </si>
  <si>
    <t xml:space="preserve">Mar-17 </t>
  </si>
  <si>
    <t xml:space="preserve">Dec-16 </t>
  </si>
  <si>
    <t xml:space="preserve">Dec-15 </t>
  </si>
  <si>
    <t xml:space="preserve">Jun-15 </t>
  </si>
  <si>
    <t>Dec-14</t>
  </si>
  <si>
    <t xml:space="preserve"> Sep-14  </t>
  </si>
  <si>
    <t xml:space="preserve">June 2014 </t>
  </si>
  <si>
    <t xml:space="preserve"> December 2013 </t>
  </si>
  <si>
    <t xml:space="preserve"> September 2013 </t>
  </si>
  <si>
    <t xml:space="preserve">March 2013 </t>
  </si>
  <si>
    <r>
      <t>Table 16 - Interest Rate Mix of Public Corporations</t>
    </r>
    <r>
      <rPr>
        <b/>
        <vertAlign val="superscript"/>
        <sz val="12"/>
        <rFont val="Times New Roman"/>
        <family val="1"/>
      </rPr>
      <t>1</t>
    </r>
    <r>
      <rPr>
        <b/>
        <sz val="12"/>
        <rFont val="Times New Roman"/>
        <family val="1"/>
      </rPr>
      <t xml:space="preserve"> Outstanding Domestic Debt</t>
    </r>
  </si>
  <si>
    <t>&gt; 10 years</t>
  </si>
  <si>
    <r>
      <t>Table 17 - Public Corporations</t>
    </r>
    <r>
      <rPr>
        <b/>
        <vertAlign val="superscript"/>
        <sz val="12"/>
        <rFont val="Times New Roman"/>
        <family val="1"/>
      </rPr>
      <t>1</t>
    </r>
    <r>
      <rPr>
        <b/>
        <sz val="12"/>
        <rFont val="Times New Roman"/>
        <family val="1"/>
      </rPr>
      <t xml:space="preserve"> Domestic Debt by Remaining Maturities</t>
    </r>
  </si>
  <si>
    <t>3 - Includes Silver Savings Bonds and Silver Retirement Bonds</t>
  </si>
  <si>
    <t>2 - Includes Bank of Mauritius</t>
  </si>
  <si>
    <t>1 - Include securities held by non residents</t>
  </si>
  <si>
    <t>Medium &amp; Long term</t>
  </si>
  <si>
    <t>Short term</t>
  </si>
  <si>
    <t>Non - Residents</t>
  </si>
  <si>
    <r>
      <rPr>
        <i/>
        <sz val="11"/>
        <color indexed="8"/>
        <rFont val="Times New Roman"/>
        <family val="1"/>
      </rPr>
      <t>Medium &amp; Long term</t>
    </r>
    <r>
      <rPr>
        <i/>
        <vertAlign val="superscript"/>
        <sz val="11"/>
        <color indexed="8"/>
        <rFont val="Times New Roman"/>
        <family val="1"/>
      </rPr>
      <t>3</t>
    </r>
  </si>
  <si>
    <t>Individual Residents</t>
  </si>
  <si>
    <t>Others</t>
  </si>
  <si>
    <t>Insurance Companies</t>
  </si>
  <si>
    <t>Pensions Fund</t>
  </si>
  <si>
    <t>Private Sector Entities</t>
  </si>
  <si>
    <t>Non-Financial Public Corporations</t>
  </si>
  <si>
    <t>O/W Financial Public Corporations</t>
  </si>
  <si>
    <t>Insurance Sector</t>
  </si>
  <si>
    <t>National Savings Fund</t>
  </si>
  <si>
    <t>National Pensions Fund</t>
  </si>
  <si>
    <t>NON BANK SECTOR</t>
  </si>
  <si>
    <r>
      <t>BANKING SECTOR</t>
    </r>
    <r>
      <rPr>
        <b/>
        <vertAlign val="superscript"/>
        <sz val="12"/>
        <color indexed="8"/>
        <rFont val="Times New Roman"/>
        <family val="1"/>
      </rPr>
      <t>2</t>
    </r>
  </si>
  <si>
    <r>
      <t>TOTAL GOVERNMENT SECURITIES</t>
    </r>
    <r>
      <rPr>
        <b/>
        <vertAlign val="superscript"/>
        <sz val="11"/>
        <color indexed="8"/>
        <rFont val="Times New Roman"/>
        <family val="1"/>
      </rPr>
      <t>1</t>
    </r>
  </si>
  <si>
    <t>Investors</t>
  </si>
  <si>
    <t xml:space="preserve"> Table 19 - Holdings of Government Securities by Creditor Type</t>
  </si>
  <si>
    <t>Table 6 - Public Corporations Outstanding External Debt by original maturity​​​​</t>
  </si>
  <si>
    <t>Table 10 - Currency Composition of Public Corporations External Debt​​​​</t>
  </si>
  <si>
    <t>Table 12 - Interest Rate Mix of Budgetary Central Government and Public Corporations External Debt​​​​​</t>
  </si>
  <si>
    <t>Table 13 - Public Corporations Outstanding Domestic Debt by Creditor Category​​​​</t>
  </si>
  <si>
    <t>Table 15 - Currency Composition of Public Corporations Outstanding Domestic Debt​​​​</t>
  </si>
  <si>
    <t>Table 16 - Interest Rate Mix of Public Corporations Outstanding Domestic Debt​​​</t>
  </si>
  <si>
    <t xml:space="preserve">    Table 1a - Details of Public Corporations Domestic Deb​t​​ Stock</t>
  </si>
  <si>
    <t xml:space="preserve">    Table 1b - Details of Public Corporations External Debt​​​​​ Stock</t>
  </si>
  <si>
    <t>Table 5 - Budgetary Central Govt Outstanding Debt by original maturity​​​​​​</t>
  </si>
  <si>
    <t>Table 8 - Budgetary Central Government Domestic Debt by residual maturities​​​​</t>
  </si>
  <si>
    <t>Table 11 - Budgetary Central Government and Public Corporations External Debt by Borrower and Creditor Category​​​​</t>
  </si>
  <si>
    <t>Table 14 - Public Corporations Outstanding Domestic Debt by original maturit​​ies</t>
  </si>
  <si>
    <t>Table 7 - Budgetary Central Government and Public Corporations External Debt by remaining maturit​​​ies</t>
  </si>
  <si>
    <t>Table 17 - Public Corporations Domestic Debt by Remaining Maturities​​​​</t>
  </si>
  <si>
    <r>
      <t>Debt Service Ratio</t>
    </r>
    <r>
      <rPr>
        <b/>
        <i/>
        <vertAlign val="superscript"/>
        <sz val="10"/>
        <rFont val="Times New Roman"/>
        <family val="1"/>
      </rPr>
      <t>2</t>
    </r>
  </si>
  <si>
    <t>Table 18 - Cost and Risk Indicators</t>
  </si>
  <si>
    <t>Government Debt</t>
  </si>
  <si>
    <t>Cost Indicators (Year Ended)</t>
  </si>
  <si>
    <t xml:space="preserve">   Interest Payments as % of GDP</t>
  </si>
  <si>
    <t xml:space="preserve">   Interest Payments as % of Recurrent Revenue</t>
  </si>
  <si>
    <t>Average Cost of Debt (%)</t>
  </si>
  <si>
    <t>Composition (%)</t>
  </si>
  <si>
    <t xml:space="preserve">   Foreign</t>
  </si>
  <si>
    <t xml:space="preserve">   Domestic</t>
  </si>
  <si>
    <t>Currency Composition of External Debt (%)</t>
  </si>
  <si>
    <t xml:space="preserve">   USD</t>
  </si>
  <si>
    <t xml:space="preserve">   EURO</t>
  </si>
  <si>
    <t xml:space="preserve">   YEN</t>
  </si>
  <si>
    <t xml:space="preserve">   Others</t>
  </si>
  <si>
    <t>Refinancing Risks</t>
  </si>
  <si>
    <t xml:space="preserve">   Average Time to Maturity (Years)</t>
  </si>
  <si>
    <t>Total Debt</t>
  </si>
  <si>
    <t>External Debt</t>
  </si>
  <si>
    <t>Domestic Debt</t>
  </si>
  <si>
    <t xml:space="preserve">   Due Within 1 year (%)</t>
  </si>
  <si>
    <t>Interest Rate Risk</t>
  </si>
  <si>
    <t xml:space="preserve">   Average Time to Re-Fixing (Years)</t>
  </si>
  <si>
    <t xml:space="preserve">Domestic Debt </t>
  </si>
  <si>
    <t xml:space="preserve">  Share with Re-fixing in 1 Year (%)</t>
  </si>
  <si>
    <t>Interest Rate Mix of External Debt (%)</t>
  </si>
  <si>
    <t xml:space="preserve">   Fixed Interest Loans</t>
  </si>
  <si>
    <t xml:space="preserve">   Variable Interest Rate Loans </t>
  </si>
  <si>
    <t xml:space="preserve">   Interest Free Loans</t>
  </si>
  <si>
    <t>Public Sector Debt (Gross)</t>
  </si>
  <si>
    <t xml:space="preserve">   As % of GDP</t>
  </si>
  <si>
    <t xml:space="preserve">   As % of Export of Goods and Services</t>
  </si>
  <si>
    <t xml:space="preserve">   FX Reserves as % of External Debt</t>
  </si>
  <si>
    <t>1-  Revised based on updated GDP figures released by Statistics Mauritius</t>
  </si>
  <si>
    <t xml:space="preserve">2- Figures include prepayment of external debt </t>
  </si>
  <si>
    <t xml:space="preserve">3- Excludes Deposit Taking Institutions and Global Business. </t>
  </si>
  <si>
    <t>4- Includes prepayment of debt amounting to some Rs 6,437 million for year ended March 2020</t>
  </si>
  <si>
    <t>For computation of indicators, Government Securities issued for mopping up excess liquidity have been excluded.</t>
  </si>
  <si>
    <t>2- Excludes Deposit Taking Institutions and Global Business</t>
  </si>
  <si>
    <t xml:space="preserve">For computation of indicators, Government Securities issued for mopping up excess liquidity have been excluded (period Sept 2014 to Dec 2019) </t>
  </si>
  <si>
    <r>
      <t>As % of GDP</t>
    </r>
    <r>
      <rPr>
        <b/>
        <vertAlign val="superscript"/>
        <sz val="10"/>
        <color theme="1"/>
        <rFont val="Times New Roman"/>
        <family val="1"/>
      </rPr>
      <t>1</t>
    </r>
  </si>
  <si>
    <r>
      <t xml:space="preserve">National External Debt </t>
    </r>
    <r>
      <rPr>
        <b/>
        <u/>
        <vertAlign val="superscript"/>
        <sz val="10"/>
        <color theme="1"/>
        <rFont val="Times New Roman"/>
        <family val="1"/>
      </rPr>
      <t>2</t>
    </r>
  </si>
  <si>
    <r>
      <t xml:space="preserve">   Debt Service Ratio (%) (Financial Year)</t>
    </r>
    <r>
      <rPr>
        <vertAlign val="superscript"/>
        <sz val="10"/>
        <color theme="1"/>
        <rFont val="Times New Roman"/>
        <family val="1"/>
      </rPr>
      <t>3</t>
    </r>
  </si>
  <si>
    <t>Public Corporations External Debt by Remaining Maturities</t>
  </si>
  <si>
    <r>
      <t>Table 7 - Budgetary Central Government External Debt by Remaining Maturities</t>
    </r>
    <r>
      <rPr>
        <b/>
        <vertAlign val="superscript"/>
        <sz val="12"/>
        <rFont val="Times New Roman"/>
        <family val="1"/>
      </rPr>
      <t>1</t>
    </r>
  </si>
  <si>
    <t>Non- Financial Public Corporations- Total</t>
  </si>
  <si>
    <t>Non- Financial Public Corporations</t>
  </si>
  <si>
    <t>Financial Public Corporations- Total</t>
  </si>
  <si>
    <t>Financial Public Corporations</t>
  </si>
  <si>
    <t>Non-Financial Public Corporations- Total</t>
  </si>
  <si>
    <t>Dec 2025</t>
  </si>
  <si>
    <t>Year ended 
Dec 2025</t>
  </si>
  <si>
    <t>Dec-25</t>
  </si>
  <si>
    <t xml:space="preserve">Dec-25
</t>
  </si>
  <si>
    <t xml:space="preserve">End Sept  </t>
  </si>
  <si>
    <t xml:space="preserve">Sept-25 </t>
  </si>
  <si>
    <t>Sept-25 Actual</t>
  </si>
  <si>
    <t>Sept 25 Actual</t>
  </si>
  <si>
    <t xml:space="preserve">(3) Figures exclude consolidation adjustment in respect of investment in Government securities held by non-financial public sector bodies </t>
  </si>
  <si>
    <t>(2) The above excludes investments in Government securities held by non-residents amounting to Rs 851 million (classified as foreign debt)</t>
  </si>
  <si>
    <t>(1) Amount includes investments in Silver Savings Bonds and Silver Retirement Bonds amounting to Rs 5,734 million</t>
  </si>
  <si>
    <t>FY2046/47</t>
  </si>
  <si>
    <t>FY2045/46</t>
  </si>
  <si>
    <t>AT END DECEMBER 2025 (Rs million)</t>
  </si>
  <si>
    <t xml:space="preserve">Figures exclude consolidation adjustment in respect of investment in Government securities held by non-financial public sector bodies </t>
  </si>
  <si>
    <t xml:space="preserve">(3) Figures exclude consolidation adjustment in respect of investment in Government securities held by non-financial public corporations </t>
  </si>
  <si>
    <t>The above excludes investments in Government securities held by non-residents amounting to Rs 511 million (classified as foreign debt)</t>
  </si>
  <si>
    <t>The above excludes investments in Government securities held by non-residents amounting to Rs 479 million (classified as foreign debt)</t>
  </si>
  <si>
    <t>The above excludes investments in Government securities held by non-residents amounting to Rs 461 million (classified as foreign debt)</t>
  </si>
  <si>
    <t>The above excludes investments in Government securities held by non-residents amounting to Rs 426 million (classified as foreign debt)</t>
  </si>
  <si>
    <t>The above excludes investments in Government securities held by non-residents amounting to Rs 428 million (classified as foreign debt)</t>
  </si>
  <si>
    <t>The above excludes investments in Government securities held by non-residents amounting to Rs 416 million (classified as foreign debt)</t>
  </si>
  <si>
    <t>The above excludes investments in Government securities held by non-residents amounting to Rs 366 million (classified as foreign debt)</t>
  </si>
  <si>
    <t>The above excludes investments in Government securities held by non-residents amounting to Rs 411 million (classified as foreign debt)</t>
  </si>
  <si>
    <t>The above excludes investments in Government securities held by non-residents amounting to Rs 370 million (classified as foreign debt)</t>
  </si>
  <si>
    <t>The above excludes investments in Government securities held by non-residents amounting to Rs 342 million (classified as foreign debt)</t>
  </si>
  <si>
    <t>The above excludes investments in Government securities held by non-residents amounting to Rs 385 million (classified as foreign debt)</t>
  </si>
  <si>
    <t>The above excludes investments in Government securities held by non-residents amounting to Rs 379 million (classified as foreign debt)</t>
  </si>
  <si>
    <t>The above excludes investments in Government securities held by non-residents amounting to Rs 401 million (classified as foreign debt)</t>
  </si>
  <si>
    <t>The above excludes investments in Government securities held by non-residents amounting to Rs 405 million (classified as foreign debt)</t>
  </si>
  <si>
    <t>The above excludes investments in Government securities held by non-residents amounting to Rs 359 million (classified as foreign debt)</t>
  </si>
  <si>
    <t>The above excludes investments in Government securities held by non-residents amounting to Rs 367 million (classified as foreign debt)</t>
  </si>
  <si>
    <t>Domestic debt excludes investments in Government securities held by non-residents amounting to Rs 1,849 million</t>
  </si>
  <si>
    <t>Domestic debt excludes investments in Government securities held by non-residents amounting to Rs 325 million</t>
  </si>
  <si>
    <t>Domestic debt excludes investments in Government securities held by non-residents amounting to Rs 328 million</t>
  </si>
  <si>
    <t>(2) The above excludes investments in Government securities held by non-residents amounting to Rs 672 million (classified as foreign debt)</t>
  </si>
  <si>
    <t>(2) The above excludes investments in Government securities held by non-residents amounting to Rs 584 million (classified as foreign debt)</t>
  </si>
  <si>
    <t>Domestic debt excludes investments in Government securities held by non-residents amounting to Rs 364 million</t>
  </si>
  <si>
    <t>(1) Amount includes investments in Silver Savings Bonds and Silver Retirement Bonds amounting to Rs5,795 million</t>
  </si>
  <si>
    <t>(1) Amount includes investments in Silver Savings Bonds and Silver Retirement Bonds amounting to Rs 5,850 million</t>
  </si>
  <si>
    <t>(1) Amount includes investments in Silver Savings Bonds and Silver Retirement Bonds amounting to Rs 5,904 million</t>
  </si>
  <si>
    <t>(1) Amount includes investments in Silver Savings Bonds and Silver Retirement Bonds amounting to Rs 5,950 million</t>
  </si>
  <si>
    <t>(1) Amount includes investments in Silver Savings Bonds and Silver Retirement Bonds amounting to Rs 6,018 million</t>
  </si>
  <si>
    <t>(1) Amount includes investments in Silver Savings Bonds and Silver Retirement Bonds amounting to Rs 6,052 million</t>
  </si>
  <si>
    <t>(1) Amount includes investments in Silver Savings Bonds and Silver Retirement Bonds amounting to Rs 6,099 million</t>
  </si>
  <si>
    <t>(1) Amount includes investments in Silver Savings Bonds and Silver Retirement Bonds amounting to Rs 6,154 million</t>
  </si>
  <si>
    <t>(1) Amount includes investments in Silver Savings Bonds and Silver Retirement Bonds amounting to Rs 6,204 million</t>
  </si>
  <si>
    <t>(1) Amount includes investments in Silver Savings Bonds and Silver Retirement Bonds amounting to Rs 6,246 million</t>
  </si>
  <si>
    <t>(1) Amount includes investments in Silver Savings Bonds and Silver Retirement Bonds amounting to Rs 6,310 million</t>
  </si>
  <si>
    <t>(1) Amount includes investments in Silver Savings Bonds and Silver Retirement Bonds amounting to Rs 6,341 million</t>
  </si>
  <si>
    <t>(1) Amount includes investments in Silver Savings Bonds and Silver Retirement Bonds amounting to Rs 6,378 million</t>
  </si>
  <si>
    <t>(1) Amount includes investments in Silver Savings Bonds and Silver Retirement Bonds amounting to Rs 6,414 million</t>
  </si>
  <si>
    <t>(1) Amount includes investments in Silver Savings Bonds and Silver Retirement Bonds amounting to Rs 6,455 million</t>
  </si>
  <si>
    <t>(1) Amount includes investments in Silver Savings Bonds and Silver Retirement Bonds amounting to Rs 6,489 million</t>
  </si>
  <si>
    <t>(1) Amount includes investments in Silver Savings Bonds and Silver Retirement Bonds amounting to Rs 6,512 million</t>
  </si>
  <si>
    <t>(1) Amount includes investments in Silver Savings Bonds and Silver Retirement Bonds amounting to Rs 6,537 million</t>
  </si>
  <si>
    <t>(1) Amount includes investments in Silver Savings Bonds and Silver Retirement Bonds amounting to Rs 6,552 million</t>
  </si>
  <si>
    <t>(1) Amount includes investments in Silver Savings Bonds and Silver Retirement Bonds amounting to Rs 6,565 million</t>
  </si>
  <si>
    <t>(1) Amount includes investments in Silver Savings Bonds and Silver Retirement Bonds amounting to Rs 6,588 million</t>
  </si>
  <si>
    <t>(1) Amount includes investments in Silver Savings Bonds and Silver Retirement Bonds amounting to Rs 6,616 million</t>
  </si>
  <si>
    <t>FY2025/26</t>
  </si>
  <si>
    <t>FY2024/25</t>
  </si>
  <si>
    <t>FY2023/24</t>
  </si>
  <si>
    <t>FY2022/23</t>
  </si>
  <si>
    <t>FY2021/22</t>
  </si>
  <si>
    <t>FY2020/21</t>
  </si>
  <si>
    <t>5-Year &amp; 7- Year Bonds</t>
  </si>
  <si>
    <t>Treasury Notes  &amp; 
4-Year Govt Saving Bonds</t>
  </si>
  <si>
    <t>Treasury Notes</t>
  </si>
  <si>
    <t>5 Year Bonds</t>
  </si>
  <si>
    <t>Inflation Indexed Bonds/variable Rate MDLS and Long Term Bonds</t>
  </si>
  <si>
    <t>Fixed Rate MDLS/Long Term Bonds</t>
  </si>
  <si>
    <t>AT END SEPTEMBER 2025 (Rs million)</t>
  </si>
  <si>
    <t>AT END JUNE 2025(Rs million)</t>
  </si>
  <si>
    <t>AT END MARCH 2025 (Rs million)</t>
  </si>
  <si>
    <t>AT END DECEMBER 2024 (Rs million)</t>
  </si>
  <si>
    <t>AT END SEPTEMBER 2024 (Rs million)</t>
  </si>
  <si>
    <t>AT END JUNE 2024 (Rs million)</t>
  </si>
  <si>
    <t>AT END MARCH 2024 (Rs million)</t>
  </si>
  <si>
    <t>AT END DECEMBER 2023 (Rs million)</t>
  </si>
  <si>
    <t>AT END SEPTEMBER 2023 (Rs million)</t>
  </si>
  <si>
    <t>AT END JUNE 2023 (Rs million)</t>
  </si>
  <si>
    <t>AT END MARCH 2023 (Rs million)</t>
  </si>
  <si>
    <t>AT END DECEMBER 2022 (Rs million)</t>
  </si>
  <si>
    <t>AT END SEPTEMBER 2022 (Rs million)</t>
  </si>
  <si>
    <t>AT END JUNE 2022 (Rs million)</t>
  </si>
  <si>
    <t>AT END MARCH 2022 (Rs million)</t>
  </si>
  <si>
    <t>AT END DECEMBER 2021 (Rs million)</t>
  </si>
  <si>
    <t>AT END SEPTEMBER 2021 (Rs million)</t>
  </si>
  <si>
    <t>AT END JUNE 2021 (Rs million)</t>
  </si>
  <si>
    <t>AT END MARCH 2021 (Rs million)</t>
  </si>
  <si>
    <t>AT END DECEMBER 2020 (Rs million)</t>
  </si>
  <si>
    <t>AT END SEPTEMBER 2020 (Rs million)</t>
  </si>
  <si>
    <t>AT END JUNE 2020 (Rs million)</t>
  </si>
  <si>
    <t xml:space="preserve"> TABLE 9 - BUDGETARY CENTRAL GOVERNMENT DOMESTIC DEBT BY RESIDUAL MATURITIES</t>
  </si>
  <si>
    <t>Mar 2026</t>
  </si>
  <si>
    <t>Quarterly Public Sector Debt Statistics - End March 2026</t>
  </si>
  <si>
    <t>Year ended 
Mar 2026</t>
  </si>
  <si>
    <t>Mar-26</t>
  </si>
  <si>
    <t xml:space="preserve">Mar-26
</t>
  </si>
  <si>
    <t>End Mar  (Provisional)</t>
  </si>
  <si>
    <t xml:space="preserve">End Dec  </t>
  </si>
  <si>
    <t>End Mar (Provisional)</t>
  </si>
  <si>
    <t>Mar-26 (Provisional)</t>
  </si>
  <si>
    <t>Dec-25 Actual</t>
  </si>
  <si>
    <t>Mar-26 Provisional</t>
  </si>
  <si>
    <t xml:space="preserve">Dec-25 </t>
  </si>
  <si>
    <t>(2) The above excludes investments in Government securities held by non-residents amounting to Rs 1,743 million (classified as foreign debt)</t>
  </si>
  <si>
    <t>(1) Amount includes investments in Silver Savings Bonds and Silver Retirement Bonds amounting to Rs 5,689 million</t>
  </si>
  <si>
    <t>AT END MARCH 2026 (Rs million)</t>
  </si>
  <si>
    <t xml:space="preserve">           Figures in Table A exclude the consolidation adjustment</t>
  </si>
  <si>
    <t xml:space="preserve">           1: Amount includes investments in Silver Savings Bonds and Silver Retirement Bonds amounting to Rs 6,384 million</t>
  </si>
  <si>
    <t xml:space="preserve">           1: Represents investments in Silver Savings Bonds and Silver Retirement Bonds</t>
  </si>
  <si>
    <t>Notes: Domestic debt (Table A) includes investments in Government securities held by non-residents amounting to Rs 174 million</t>
  </si>
  <si>
    <t>Notes: Domestic debt (Table A) includes investments in Government securities held by non-residents amounting to Rs 176 million</t>
  </si>
  <si>
    <t>Note: Domestic debt (Table A) includes investments in Government securities held by non-residents amounting to Rs 180 million</t>
  </si>
  <si>
    <t>Note: Domestic debt (Table A) includes investments in Government securities held by non-residents amounting to Rs 170 million</t>
  </si>
  <si>
    <t>Note: Domestic debt (Table A) includes investments in Government securities held by non-residents amounting to Rs 285 million</t>
  </si>
  <si>
    <t>Note: Domestic debt (Table A) includes investments in Government securities held by non-residents amounting to Rs 281 million</t>
  </si>
  <si>
    <t>Note: Domestic debt (Table A) includes investments in Government securities held by non-residents amounting to some Rs 309 million</t>
  </si>
  <si>
    <t>Notes: Domestic debt (Table A) includes investments in Government securities held by non-residents amounting to Rs 301 million</t>
  </si>
  <si>
    <t>Notes: Domestic debt (Table A) includes investments in Government securities held by non-residents amounting to Rs 210 million</t>
  </si>
  <si>
    <t>FY2019/20</t>
  </si>
  <si>
    <t>FY2018/19</t>
  </si>
  <si>
    <t>FY2017/18</t>
  </si>
  <si>
    <t>Domestic debt includes investments in Government securities held by non-residents amounting to Rs 320 million</t>
  </si>
  <si>
    <t>5-Year Saving Bonds</t>
  </si>
  <si>
    <t>3-Year Saving  Notes</t>
  </si>
  <si>
    <t>1-Year Saving  Certificates</t>
  </si>
  <si>
    <t>Treasury Bills</t>
  </si>
  <si>
    <t>(1) Amount includes investments in Silver Savings Bonds and Silver Retirement Bonds amounting to Rs 6,624 million</t>
  </si>
  <si>
    <t>B.   GOVERNMENT SECURITIES ISSUED FOR MOPPING UP EXCESS LIQUIDITY</t>
  </si>
  <si>
    <r>
      <t>FY2039/40</t>
    </r>
    <r>
      <rPr>
        <vertAlign val="superscript"/>
        <sz val="12"/>
        <color indexed="8"/>
        <rFont val="Times New Roman"/>
        <family val="1"/>
      </rPr>
      <t>1</t>
    </r>
  </si>
  <si>
    <t>A.   GOVERNMENT SECURITIES ISSUED FOR MEETING BORROWING REQUIREMENT</t>
  </si>
  <si>
    <t>AT END MARCH 2020 (Rs million)</t>
  </si>
  <si>
    <t>AT END DECEMBER 2019 (Rs million)</t>
  </si>
  <si>
    <t>AT END SEPTEMBER 2019 (Rs million)</t>
  </si>
  <si>
    <t>AT END JUNE 2019 (Rs million)</t>
  </si>
  <si>
    <t>AT END MARCH 2019 (Rs million)</t>
  </si>
  <si>
    <t>AT END DECEMBER 2018 (Rs million)</t>
  </si>
  <si>
    <t>AT END SEPTEMBER 2018 (Rs million)</t>
  </si>
  <si>
    <t>AT END JUNE 2018 (Rs million)</t>
  </si>
  <si>
    <t>AT END MARCH 2018 (Rs million)</t>
  </si>
  <si>
    <t>AT END DECEMBER 2017 (Rs million)</t>
  </si>
  <si>
    <t>AT END SEPTEMBER 2017 (Rs million)</t>
  </si>
  <si>
    <t>Note: Domestic debt (Table A) includes investments in Government securities held by non-residents amounting to Rs 348 million</t>
  </si>
  <si>
    <t>Note: Domestic debt (Table A) includes investments in Government securities held by non-residents</t>
  </si>
  <si>
    <t>Note: Domestic debt (Table A) includes investment in Government securities held by non-residents</t>
  </si>
  <si>
    <t>Note: Domestic debt includes investment in Government securities held by non-residents</t>
  </si>
  <si>
    <t>FY2016/17</t>
  </si>
  <si>
    <t>FY2015/16</t>
  </si>
  <si>
    <t>Up to end June 2016</t>
  </si>
  <si>
    <t>Up to June 2015</t>
  </si>
  <si>
    <t>5 Year Saving Bonds</t>
  </si>
  <si>
    <t>3 Year Saving  Notes</t>
  </si>
  <si>
    <t xml:space="preserve">  in PRB Savings Scheme</t>
  </si>
  <si>
    <t>B. GOVERNMENT SECURITIES ISSUED FOR MOPPING UP EXCESS LIQUIDITY</t>
  </si>
  <si>
    <t>Note: Domestic debt includes investment in Government securities held by non-residents but excludes investment in PRB Savings Scheme</t>
  </si>
  <si>
    <t xml:space="preserve">Note: Domestic debt includes investment in Government securities held by non-residents but excludes investment </t>
  </si>
  <si>
    <t>FY2027/286</t>
  </si>
  <si>
    <t>Inflation Indexed Bonds/variable Rate MDLS and Long term Bonds</t>
  </si>
  <si>
    <t>Fixed Rate MDLS/Long TermBonds</t>
  </si>
  <si>
    <t>Indexed Links Bonds/variable Rate MDLS and Long term Bonds</t>
  </si>
  <si>
    <t>A. DEBT FOR MEETING  GOVERNMENT BORROWING REQUIREMENT</t>
  </si>
  <si>
    <t>AT END JUNE 2017 (Rs million)</t>
  </si>
  <si>
    <t>AT END MARCH 2017 (Rs million)</t>
  </si>
  <si>
    <t>AT END DECEMBER 2016 (Rs million)</t>
  </si>
  <si>
    <t>AT END SEPTEMBER 2016 (Rs million)</t>
  </si>
  <si>
    <t>AT END JUNE 2016 (Rs Million)</t>
  </si>
  <si>
    <t>AT END MARCH 2016 (Rs Million)</t>
  </si>
  <si>
    <t>AT END DECEMBER 2015 (Rs Million)</t>
  </si>
  <si>
    <t>AT END SEPTEMBER 2015 (Rs Million)</t>
  </si>
  <si>
    <t>AT END-JUNE 2015</t>
  </si>
  <si>
    <t>AT END-MARCH 2015</t>
  </si>
  <si>
    <t>AT END-DECEMBER 2014</t>
  </si>
  <si>
    <t>AT END-SEPT 2014</t>
  </si>
  <si>
    <t>AT END-JUNE 2014</t>
  </si>
  <si>
    <t>AT END-MARCH 2014</t>
  </si>
  <si>
    <t>AT END-DECEMBER 2013</t>
  </si>
  <si>
    <t>AT END-SEPTEMBER 2013</t>
  </si>
  <si>
    <t>AT END-JUNE 2013</t>
  </si>
  <si>
    <t>AT END-MARCH 2013</t>
  </si>
  <si>
    <t>AT END-DECEMBER 2012</t>
  </si>
  <si>
    <t>AT END-SEPTEMBER 2012</t>
  </si>
  <si>
    <t>AT END-JUNE 2012</t>
  </si>
  <si>
    <t>AT END-MARCH 2012</t>
  </si>
  <si>
    <t>AT END-DECEMBER 2011</t>
  </si>
  <si>
    <t>AT END-SEPTEMBER 2011</t>
  </si>
  <si>
    <t>AT END-JUNE 2011</t>
  </si>
  <si>
    <t>AT END-MARCH 2011</t>
  </si>
  <si>
    <t>AT END-DECEMBER 2010</t>
  </si>
  <si>
    <t>AT END-SEPTEMBER 2010</t>
  </si>
  <si>
    <t xml:space="preserve"> TABLE 9 - GOVERNMENT DOMESTIC DEBT BY RESIDUAL MATURITIES</t>
  </si>
  <si>
    <t xml:space="preserve"> GOVERNMENT DOMESTIC DEBT BY RESIDUAL MATURITIES</t>
  </si>
  <si>
    <t>(4) Includes investment by non-residents in medium and long term Government securities amounting to Rs 657 million at end March 2026</t>
  </si>
  <si>
    <t>Mar 26 Provisional</t>
  </si>
  <si>
    <t>Dec 25 Actual</t>
  </si>
  <si>
    <t>(2) Treasury Notes inlude 4 year GOM Saving Bonds amounting to some Rs 228 M at end March 2026</t>
  </si>
  <si>
    <t>(9) In line with international statistical standards, with effect from December 2025, midpoint rates (between buying and selling) are applied for the conversion of foreign currency denomenated debts to Rupee equivalents.</t>
  </si>
  <si>
    <r>
      <t xml:space="preserve">  - Capital Repayments</t>
    </r>
    <r>
      <rPr>
        <vertAlign val="superscript"/>
        <sz val="10"/>
        <rFont val="Times New Roman"/>
        <family val="1"/>
      </rPr>
      <t xml:space="preserve"> </t>
    </r>
  </si>
  <si>
    <t xml:space="preserve">  - Capital Repayments</t>
  </si>
  <si>
    <t xml:space="preserve">        3: Treasury Notes and 4 year GOM Savings Bonds</t>
  </si>
  <si>
    <r>
      <t xml:space="preserve">    Up to 10 years</t>
    </r>
    <r>
      <rPr>
        <vertAlign val="superscript"/>
        <sz val="12"/>
        <rFont val="Times New Roman"/>
        <family val="1"/>
      </rPr>
      <t>1</t>
    </r>
  </si>
  <si>
    <r>
      <t>&gt; 10 to 15 years</t>
    </r>
    <r>
      <rPr>
        <vertAlign val="superscript"/>
        <sz val="12"/>
        <rFont val="Times New Roman"/>
        <family val="1"/>
      </rPr>
      <t>1</t>
    </r>
  </si>
  <si>
    <t>(1) - Include investment in short and medium term Government Securities held by non-residents</t>
  </si>
  <si>
    <r>
      <t>Treasury Bills &amp; Other Short Term Borrowings</t>
    </r>
    <r>
      <rPr>
        <i/>
        <vertAlign val="superscript"/>
        <sz val="11"/>
        <rFont val="Times New Roman"/>
        <family val="1"/>
      </rPr>
      <t>3</t>
    </r>
  </si>
  <si>
    <r>
      <t xml:space="preserve">   Other Foreign</t>
    </r>
    <r>
      <rPr>
        <vertAlign val="superscript"/>
        <sz val="11"/>
        <rFont val="Times New Roman"/>
        <family val="1"/>
      </rPr>
      <t>3</t>
    </r>
  </si>
  <si>
    <r>
      <t xml:space="preserve">Budgetary Central Government </t>
    </r>
    <r>
      <rPr>
        <b/>
        <vertAlign val="superscript"/>
        <sz val="11"/>
        <rFont val="Times New Roman"/>
        <family val="1"/>
      </rPr>
      <t>1</t>
    </r>
  </si>
  <si>
    <t xml:space="preserve">3 Represents investment in Government securities held by non-residents </t>
  </si>
  <si>
    <r>
      <t xml:space="preserve">   Others </t>
    </r>
    <r>
      <rPr>
        <b/>
        <vertAlign val="superscript"/>
        <sz val="11"/>
        <rFont val="Times New Roman"/>
        <family val="1"/>
      </rPr>
      <t>4</t>
    </r>
  </si>
  <si>
    <t>4 Other financial institutions</t>
  </si>
  <si>
    <t>4 - Banking Sector includes collaterals held by foreign banks</t>
  </si>
  <si>
    <r>
      <t xml:space="preserve">Percent of GDP </t>
    </r>
    <r>
      <rPr>
        <b/>
        <i/>
        <vertAlign val="superscript"/>
        <sz val="10"/>
        <rFont val="Times New Roman"/>
        <family val="1"/>
      </rPr>
      <t>4</t>
    </r>
  </si>
  <si>
    <r>
      <t>Percent of Export of Goods &amp; Services</t>
    </r>
    <r>
      <rPr>
        <b/>
        <i/>
        <vertAlign val="superscript"/>
        <sz val="10"/>
        <rFont val="Times New Roman"/>
        <family val="1"/>
      </rPr>
      <t>5</t>
    </r>
  </si>
  <si>
    <t xml:space="preserve">Notes 4 &amp; 5 - Revised based on updated figures for GDP and Exports of Goods and Services as from December 2013 by Statistics Mauritius  </t>
  </si>
  <si>
    <t xml:space="preserve">2 - Revised based on updated figures for Exports of Goods and Services as from December 2013 by Statistics Mauritius </t>
  </si>
  <si>
    <t xml:space="preserve">(1) Debt to GDP ratios have been revised as from December 2013 based on updated GDP figures released by Statistics Mauritius </t>
  </si>
  <si>
    <t>``</t>
  </si>
  <si>
    <t xml:space="preserve">3- Figures include prepayment of external debt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</si>
</sst>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0.0%"/>
    <numFmt numFmtId="165" formatCode="_(* #,##0.00_);_(* \(#,##0.00\);_(* &quot;-&quot;??_);_(@_)"/>
    <numFmt numFmtId="166" formatCode="_(* #,##0_);_(* \(#,##0\);_(* &quot;-&quot;??_);_(@_)"/>
    <numFmt numFmtId="167" formatCode="#,##0;[Red]#,##0"/>
    <numFmt numFmtId="168" formatCode="#,##0.0"/>
    <numFmt numFmtId="169" formatCode="_(* #,##0.0_);_(* \(#,##0.0\);_(* &quot;-&quot;??_);_(@_)"/>
    <numFmt numFmtId="170" formatCode="_-* #,##0_-;\-* #,##0_-;_-* &quot;-&quot;??_-;_-@_-"/>
    <numFmt numFmtId="171" formatCode="[$-409]mmm\-yy;@"/>
    <numFmt numFmtId="172" formatCode="#,##0.0,"/>
    <numFmt numFmtId="173" formatCode="0.0"/>
    <numFmt numFmtId="174" formatCode="#,##0,"/>
    <numFmt numFmtId="175" formatCode="#,##0.0;[Red]#,##0.0"/>
    <numFmt numFmtId="176" formatCode="_(* #,##0_);_(* \(#,##0\);_(* &quot;-&quot;_);_(@_)"/>
    <numFmt numFmtId="177" formatCode="0.0\ "/>
  </numFmts>
  <fonts count="98" x14ac:knownFonts="1">
    <font>
      <sz val="11"/>
      <color theme="1"/>
      <name val="Calibri"/>
      <family val="2"/>
      <scheme val="minor"/>
    </font>
    <font>
      <sz val="10"/>
      <name val="Arial"/>
      <family val="2"/>
    </font>
    <font>
      <sz val="10"/>
      <name val="Times New Roman"/>
      <family val="1"/>
    </font>
    <font>
      <sz val="10"/>
      <color rgb="FFFF0000"/>
      <name val="Times New Roman"/>
      <family val="1"/>
    </font>
    <font>
      <sz val="10"/>
      <name val="Arial"/>
      <family val="2"/>
    </font>
    <font>
      <sz val="11"/>
      <name val="Calibri"/>
      <family val="2"/>
    </font>
    <font>
      <sz val="11"/>
      <color indexed="8"/>
      <name val="Calibri"/>
      <family val="2"/>
    </font>
    <font>
      <i/>
      <sz val="9"/>
      <name val="Times New Roman"/>
      <family val="1"/>
    </font>
    <font>
      <sz val="9"/>
      <name val="Times New Roman"/>
      <family val="1"/>
    </font>
    <font>
      <i/>
      <sz val="10"/>
      <name val="Times New Roman"/>
      <family val="1"/>
    </font>
    <font>
      <b/>
      <i/>
      <sz val="10"/>
      <name val="Times New Roman"/>
      <family val="1"/>
    </font>
    <font>
      <i/>
      <sz val="10"/>
      <color theme="1"/>
      <name val="Times New Roman"/>
      <family val="1"/>
    </font>
    <font>
      <b/>
      <i/>
      <sz val="10"/>
      <color theme="1"/>
      <name val="Times New Roman"/>
      <family val="1"/>
    </font>
    <font>
      <b/>
      <sz val="10"/>
      <name val="Times New Roman"/>
      <family val="1"/>
    </font>
    <font>
      <sz val="10"/>
      <color theme="1"/>
      <name val="Times New Roman"/>
      <family val="1"/>
    </font>
    <font>
      <b/>
      <sz val="10"/>
      <color theme="1"/>
      <name val="Times New Roman"/>
      <family val="1"/>
    </font>
    <font>
      <vertAlign val="superscript"/>
      <sz val="10"/>
      <color indexed="8"/>
      <name val="Times New Roman"/>
      <family val="1"/>
    </font>
    <font>
      <b/>
      <sz val="9"/>
      <name val="Times New Roman"/>
      <family val="1"/>
    </font>
    <font>
      <b/>
      <vertAlign val="superscript"/>
      <sz val="9"/>
      <name val="Times New Roman"/>
      <family val="1"/>
    </font>
    <font>
      <b/>
      <vertAlign val="superscript"/>
      <sz val="10"/>
      <name val="Times New Roman"/>
      <family val="1"/>
    </font>
    <font>
      <b/>
      <i/>
      <sz val="9"/>
      <name val="Times New Roman"/>
      <family val="1"/>
    </font>
    <font>
      <i/>
      <vertAlign val="superscript"/>
      <sz val="10"/>
      <name val="Times New Roman"/>
      <family val="1"/>
    </font>
    <font>
      <b/>
      <sz val="12"/>
      <name val="Times New Roman"/>
      <family val="1"/>
    </font>
    <font>
      <sz val="12"/>
      <color theme="1"/>
      <name val="Aptos"/>
      <family val="2"/>
    </font>
    <font>
      <sz val="10.5"/>
      <color theme="1"/>
      <name val="Segoe UI"/>
      <family val="2"/>
    </font>
    <font>
      <sz val="11"/>
      <color theme="1"/>
      <name val="Calibri"/>
      <family val="2"/>
      <scheme val="minor"/>
    </font>
    <font>
      <sz val="11"/>
      <color theme="1"/>
      <name val="Times New Roman"/>
      <family val="1"/>
    </font>
    <font>
      <sz val="11"/>
      <name val="Times New Roman"/>
      <family val="1"/>
    </font>
    <font>
      <b/>
      <sz val="11"/>
      <color theme="1"/>
      <name val="Times New Roman"/>
      <family val="1"/>
    </font>
    <font>
      <b/>
      <sz val="14"/>
      <color theme="1"/>
      <name val="Times New Roman"/>
      <family val="1"/>
    </font>
    <font>
      <b/>
      <sz val="11"/>
      <name val="Times New Roman"/>
      <family val="1"/>
    </font>
    <font>
      <i/>
      <sz val="12"/>
      <color theme="1"/>
      <name val="Times New Roman"/>
      <family val="1"/>
    </font>
    <font>
      <i/>
      <sz val="11"/>
      <color theme="1"/>
      <name val="Times New Roman"/>
      <family val="1"/>
    </font>
    <font>
      <b/>
      <i/>
      <sz val="12"/>
      <color theme="1"/>
      <name val="Times New Roman"/>
      <family val="1"/>
    </font>
    <font>
      <b/>
      <i/>
      <sz val="11"/>
      <color theme="1"/>
      <name val="Times New Roman"/>
      <family val="1"/>
    </font>
    <font>
      <b/>
      <sz val="12"/>
      <color theme="1"/>
      <name val="Times New Roman"/>
      <family val="1"/>
    </font>
    <font>
      <vertAlign val="superscript"/>
      <sz val="11"/>
      <color indexed="8"/>
      <name val="Times New Roman"/>
      <family val="1"/>
    </font>
    <font>
      <sz val="12"/>
      <color theme="1"/>
      <name val="Times New Roman"/>
      <family val="1"/>
    </font>
    <font>
      <sz val="11"/>
      <name val="Arial"/>
      <family val="2"/>
    </font>
    <font>
      <sz val="9.5"/>
      <name val="Times New Roman"/>
      <family val="1"/>
    </font>
    <font>
      <b/>
      <sz val="10"/>
      <color rgb="FFFF0000"/>
      <name val="Times New Roman"/>
      <family val="1"/>
    </font>
    <font>
      <b/>
      <sz val="14"/>
      <name val="Times New Roman"/>
      <family val="1"/>
    </font>
    <font>
      <sz val="10"/>
      <name val="Helv"/>
    </font>
    <font>
      <b/>
      <i/>
      <vertAlign val="superscript"/>
      <sz val="10"/>
      <name val="Times New Roman"/>
      <family val="1"/>
    </font>
    <font>
      <vertAlign val="superscript"/>
      <sz val="10"/>
      <name val="Times New Roman"/>
      <family val="1"/>
    </font>
    <font>
      <sz val="9"/>
      <color theme="1"/>
      <name val="Times New Roman"/>
      <family val="1"/>
    </font>
    <font>
      <vertAlign val="superscript"/>
      <sz val="10"/>
      <color theme="1"/>
      <name val="Times New Roman"/>
      <family val="1"/>
    </font>
    <font>
      <i/>
      <vertAlign val="superscript"/>
      <sz val="10"/>
      <color indexed="8"/>
      <name val="Times New Roman"/>
      <family val="1"/>
    </font>
    <font>
      <i/>
      <sz val="10"/>
      <color indexed="8"/>
      <name val="Times New Roman"/>
      <family val="1"/>
    </font>
    <font>
      <sz val="10"/>
      <color indexed="8"/>
      <name val="Times New Roman"/>
      <family val="1"/>
    </font>
    <font>
      <i/>
      <sz val="11"/>
      <name val="Times New Roman"/>
      <family val="1"/>
    </font>
    <font>
      <sz val="11"/>
      <color rgb="FFFF0000"/>
      <name val="Times New Roman"/>
      <family val="1"/>
    </font>
    <font>
      <b/>
      <vertAlign val="superscript"/>
      <sz val="11"/>
      <name val="Times New Roman"/>
      <family val="1"/>
    </font>
    <font>
      <i/>
      <sz val="12"/>
      <name val="Times New Roman"/>
      <family val="1"/>
    </font>
    <font>
      <i/>
      <vertAlign val="superscript"/>
      <sz val="12"/>
      <name val="Times New Roman"/>
      <family val="1"/>
    </font>
    <font>
      <sz val="12"/>
      <name val="Times New Roman"/>
      <family val="1"/>
    </font>
    <font>
      <b/>
      <i/>
      <sz val="11"/>
      <name val="Times New Roman"/>
      <family val="1"/>
    </font>
    <font>
      <vertAlign val="superscript"/>
      <sz val="12"/>
      <name val="Times New Roman"/>
      <family val="1"/>
    </font>
    <font>
      <b/>
      <i/>
      <sz val="12"/>
      <name val="Times New Roman"/>
      <family val="1"/>
    </font>
    <font>
      <sz val="12"/>
      <name val="Arial"/>
      <family val="2"/>
    </font>
    <font>
      <b/>
      <sz val="11"/>
      <color rgb="FFFF0000"/>
      <name val="Times New Roman"/>
      <family val="1"/>
    </font>
    <font>
      <b/>
      <i/>
      <sz val="12"/>
      <color rgb="FFFF0000"/>
      <name val="Times New Roman"/>
      <family val="1"/>
    </font>
    <font>
      <b/>
      <vertAlign val="superscript"/>
      <sz val="12"/>
      <name val="Times New Roman"/>
      <family val="1"/>
    </font>
    <font>
      <vertAlign val="superscript"/>
      <sz val="12"/>
      <color indexed="8"/>
      <name val="Times New Roman"/>
      <family val="1"/>
    </font>
    <font>
      <vertAlign val="superscript"/>
      <sz val="11"/>
      <name val="Times New Roman"/>
      <family val="1"/>
    </font>
    <font>
      <sz val="10.5"/>
      <color rgb="FFFF0000"/>
      <name val="Times New Roman"/>
      <family val="1"/>
    </font>
    <font>
      <sz val="10.5"/>
      <name val="Times New Roman"/>
      <family val="1"/>
    </font>
    <font>
      <b/>
      <sz val="10.5"/>
      <name val="Times New Roman"/>
      <family val="1"/>
    </font>
    <font>
      <sz val="11"/>
      <color indexed="8"/>
      <name val="Times New Roman"/>
      <family val="1"/>
    </font>
    <font>
      <sz val="11"/>
      <name val="Calibri"/>
      <family val="2"/>
      <scheme val="minor"/>
    </font>
    <font>
      <b/>
      <sz val="10.65"/>
      <name val="Times New Roman"/>
      <family val="1"/>
    </font>
    <font>
      <sz val="11"/>
      <color indexed="8"/>
      <name val="Arial"/>
      <family val="2"/>
    </font>
    <font>
      <sz val="10"/>
      <color indexed="10"/>
      <name val="Times New Roman"/>
      <family val="1"/>
    </font>
    <font>
      <b/>
      <sz val="10"/>
      <color indexed="10"/>
      <name val="Times New Roman"/>
      <family val="1"/>
    </font>
    <font>
      <sz val="9"/>
      <name val="Calibri"/>
      <family val="2"/>
      <scheme val="minor"/>
    </font>
    <font>
      <i/>
      <sz val="11"/>
      <name val="Calibri"/>
      <family val="2"/>
      <scheme val="minor"/>
    </font>
    <font>
      <sz val="8"/>
      <color theme="1"/>
      <name val="Times New Roman"/>
      <family val="1"/>
    </font>
    <font>
      <i/>
      <sz val="11"/>
      <color indexed="8"/>
      <name val="Times New Roman"/>
      <family val="1"/>
    </font>
    <font>
      <i/>
      <vertAlign val="superscript"/>
      <sz val="11"/>
      <color indexed="8"/>
      <name val="Times New Roman"/>
      <family val="1"/>
    </font>
    <font>
      <b/>
      <u/>
      <sz val="11"/>
      <color theme="1"/>
      <name val="Times New Roman"/>
      <family val="1"/>
    </font>
    <font>
      <b/>
      <vertAlign val="superscript"/>
      <sz val="12"/>
      <color indexed="8"/>
      <name val="Times New Roman"/>
      <family val="1"/>
    </font>
    <font>
      <b/>
      <vertAlign val="superscript"/>
      <sz val="11"/>
      <color indexed="8"/>
      <name val="Times New Roman"/>
      <family val="1"/>
    </font>
    <font>
      <u/>
      <sz val="11"/>
      <color theme="10"/>
      <name val="Calibri"/>
      <family val="2"/>
      <scheme val="minor"/>
    </font>
    <font>
      <b/>
      <sz val="14"/>
      <color rgb="FF002060"/>
      <name val="Arial"/>
      <family val="2"/>
    </font>
    <font>
      <b/>
      <sz val="20"/>
      <color rgb="FF002060"/>
      <name val="Arial"/>
      <family val="2"/>
    </font>
    <font>
      <sz val="10"/>
      <color theme="1"/>
      <name val="Calibri"/>
      <family val="2"/>
      <scheme val="minor"/>
    </font>
    <font>
      <b/>
      <u/>
      <sz val="10"/>
      <color theme="1"/>
      <name val="Times New Roman"/>
      <family val="1"/>
    </font>
    <font>
      <b/>
      <vertAlign val="superscript"/>
      <sz val="10"/>
      <color theme="1"/>
      <name val="Times New Roman"/>
      <family val="1"/>
    </font>
    <font>
      <b/>
      <u/>
      <vertAlign val="superscript"/>
      <sz val="10"/>
      <color theme="1"/>
      <name val="Times New Roman"/>
      <family val="1"/>
    </font>
    <font>
      <i/>
      <sz val="10"/>
      <color theme="1"/>
      <name val="Calibri"/>
      <family val="2"/>
      <scheme val="minor"/>
    </font>
    <font>
      <i/>
      <sz val="9"/>
      <color theme="1"/>
      <name val="Times New Roman"/>
      <family val="1"/>
    </font>
    <font>
      <sz val="9"/>
      <color theme="1"/>
      <name val="Calibri"/>
      <family val="2"/>
      <scheme val="minor"/>
    </font>
    <font>
      <u/>
      <sz val="11"/>
      <color theme="10"/>
      <name val="Arial"/>
      <family val="2"/>
    </font>
    <font>
      <sz val="11"/>
      <color theme="1"/>
      <name val="Arial"/>
      <family val="2"/>
    </font>
    <font>
      <sz val="12"/>
      <color rgb="FFFF0000"/>
      <name val="Times New Roman"/>
      <family val="1"/>
    </font>
    <font>
      <sz val="9"/>
      <color theme="1"/>
      <name val="Arial"/>
      <family val="2"/>
    </font>
    <font>
      <b/>
      <sz val="11"/>
      <color theme="1"/>
      <name val="Arial"/>
      <family val="2"/>
    </font>
    <font>
      <i/>
      <vertAlign val="superscript"/>
      <sz val="11"/>
      <name val="Times New Roman"/>
      <family val="1"/>
    </font>
  </fonts>
  <fills count="3">
    <fill>
      <patternFill patternType="none"/>
    </fill>
    <fill>
      <patternFill patternType="gray125"/>
    </fill>
    <fill>
      <patternFill patternType="solid">
        <fgColor theme="0"/>
        <bgColor indexed="64"/>
      </patternFill>
    </fill>
  </fills>
  <borders count="109">
    <border>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bottom/>
      <diagonal/>
    </border>
    <border>
      <left style="double">
        <color indexed="64"/>
      </left>
      <right style="thin">
        <color indexed="64"/>
      </right>
      <top/>
      <bottom/>
      <diagonal/>
    </border>
    <border>
      <left style="thin">
        <color indexed="64"/>
      </left>
      <right style="double">
        <color indexed="64"/>
      </right>
      <top/>
      <bottom style="medium">
        <color indexed="64"/>
      </bottom>
      <diagonal/>
    </border>
    <border>
      <left style="thin">
        <color indexed="64"/>
      </left>
      <right style="thin">
        <color indexed="64"/>
      </right>
      <top/>
      <bottom style="medium">
        <color indexed="64"/>
      </bottom>
      <diagonal/>
    </border>
    <border>
      <left style="double">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bottom/>
      <diagonal/>
    </border>
    <border>
      <left/>
      <right style="double">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top style="double">
        <color indexed="64"/>
      </top>
      <bottom style="medium">
        <color indexed="64"/>
      </bottom>
      <diagonal/>
    </border>
    <border>
      <left style="double">
        <color indexed="64"/>
      </left>
      <right style="thin">
        <color indexed="64"/>
      </right>
      <top/>
      <bottom style="medium">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style="thick">
        <color indexed="64"/>
      </left>
      <right style="thin">
        <color indexed="64"/>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8"/>
      </top>
      <bottom/>
      <diagonal/>
    </border>
    <border>
      <left style="thin">
        <color indexed="64"/>
      </left>
      <right style="thin">
        <color indexed="64"/>
      </right>
      <top style="medium">
        <color indexed="64"/>
      </top>
      <bottom style="medium">
        <color indexed="8"/>
      </bottom>
      <diagonal/>
    </border>
    <border>
      <left style="thin">
        <color indexed="64"/>
      </left>
      <right style="thin">
        <color indexed="64"/>
      </right>
      <top style="thin">
        <color rgb="FF000000"/>
      </top>
      <bottom style="thin">
        <color rgb="FF000000"/>
      </bottom>
      <diagonal/>
    </border>
    <border>
      <left style="thin">
        <color auto="1"/>
      </left>
      <right/>
      <top/>
      <bottom/>
      <diagonal/>
    </border>
    <border>
      <left style="thin">
        <color auto="1"/>
      </left>
      <right style="thin">
        <color indexed="64"/>
      </right>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medium">
        <color indexed="64"/>
      </right>
      <top style="medium">
        <color indexed="64"/>
      </top>
      <bottom style="thin">
        <color indexed="64"/>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left style="medium">
        <color indexed="64"/>
      </left>
      <right style="double">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style="medium">
        <color indexed="64"/>
      </bottom>
      <diagonal/>
    </border>
    <border>
      <left style="medium">
        <color indexed="64"/>
      </left>
      <right style="double">
        <color indexed="64"/>
      </right>
      <top/>
      <bottom style="medium">
        <color indexed="64"/>
      </bottom>
      <diagonal/>
    </border>
    <border>
      <left/>
      <right/>
      <top/>
      <bottom style="double">
        <color indexed="64"/>
      </bottom>
      <diagonal/>
    </border>
    <border>
      <left/>
      <right/>
      <top/>
      <bottom style="medium">
        <color indexed="64"/>
      </bottom>
      <diagonal/>
    </border>
  </borders>
  <cellStyleXfs count="34">
    <xf numFmtId="0" fontId="0" fillId="0" borderId="0"/>
    <xf numFmtId="0" fontId="1" fillId="0" borderId="0"/>
    <xf numFmtId="9" fontId="4" fillId="0" borderId="0" applyFont="0" applyFill="0" applyBorder="0" applyAlignment="0" applyProtection="0"/>
    <xf numFmtId="0" fontId="6" fillId="0" borderId="0"/>
    <xf numFmtId="165" fontId="4" fillId="0" borderId="0" applyFont="0" applyFill="0" applyBorder="0" applyAlignment="0" applyProtection="0"/>
    <xf numFmtId="0" fontId="4" fillId="0" borderId="0"/>
    <xf numFmtId="0" fontId="24" fillId="0" borderId="0"/>
    <xf numFmtId="43" fontId="25" fillId="0" borderId="0" applyFont="0" applyFill="0" applyBorder="0" applyAlignment="0" applyProtection="0"/>
    <xf numFmtId="165" fontId="25"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2" fillId="0" borderId="0">
      <alignment horizontal="left" vertical="top" wrapText="1"/>
    </xf>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6" fillId="0" borderId="0"/>
    <xf numFmtId="165" fontId="4" fillId="0" borderId="0" applyFont="0" applyFill="0" applyBorder="0" applyAlignment="0" applyProtection="0"/>
    <xf numFmtId="176" fontId="25" fillId="0" borderId="0" applyFont="0" applyFill="0" applyBorder="0" applyAlignment="0" applyProtection="0"/>
    <xf numFmtId="0" fontId="71" fillId="0" borderId="0"/>
    <xf numFmtId="41" fontId="25" fillId="0" borderId="0" applyFont="0" applyFill="0" applyBorder="0" applyAlignment="0" applyProtection="0"/>
    <xf numFmtId="0" fontId="82" fillId="0" borderId="0" applyNumberFormat="0" applyFill="0" applyBorder="0" applyAlignment="0" applyProtection="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applyFont="0" applyFill="0" applyBorder="0" applyAlignment="0" applyProtection="0"/>
    <xf numFmtId="0" fontId="1" fillId="0" borderId="0"/>
  </cellStyleXfs>
  <cellXfs count="1368">
    <xf numFmtId="0" fontId="0" fillId="0" borderId="0" xfId="0"/>
    <xf numFmtId="0" fontId="2" fillId="2" borderId="0" xfId="1" applyFont="1" applyFill="1"/>
    <xf numFmtId="0" fontId="3" fillId="2" borderId="0" xfId="1" applyFont="1" applyFill="1"/>
    <xf numFmtId="164" fontId="4" fillId="2" borderId="0" xfId="2" applyNumberFormat="1" applyFont="1" applyFill="1"/>
    <xf numFmtId="0" fontId="5" fillId="2" borderId="0" xfId="1" applyFont="1" applyFill="1" applyAlignment="1">
      <alignment vertical="center"/>
    </xf>
    <xf numFmtId="3" fontId="2" fillId="2" borderId="0" xfId="1" applyNumberFormat="1" applyFont="1" applyFill="1"/>
    <xf numFmtId="166" fontId="8" fillId="2" borderId="1" xfId="4" applyNumberFormat="1" applyFont="1" applyFill="1" applyBorder="1"/>
    <xf numFmtId="0" fontId="2" fillId="2" borderId="1" xfId="1" applyFont="1" applyFill="1" applyBorder="1"/>
    <xf numFmtId="0" fontId="9" fillId="2" borderId="0" xfId="1" applyFont="1" applyFill="1"/>
    <xf numFmtId="164" fontId="2" fillId="2" borderId="2" xfId="1" applyNumberFormat="1" applyFont="1" applyFill="1" applyBorder="1" applyAlignment="1">
      <alignment horizontal="right" indent="1"/>
    </xf>
    <xf numFmtId="164" fontId="10" fillId="2" borderId="2" xfId="1" applyNumberFormat="1" applyFont="1" applyFill="1" applyBorder="1"/>
    <xf numFmtId="0" fontId="11" fillId="2" borderId="3" xfId="1" applyFont="1" applyFill="1" applyBorder="1" applyAlignment="1">
      <alignment horizontal="center" vertical="center"/>
    </xf>
    <xf numFmtId="0" fontId="12" fillId="2" borderId="4" xfId="1" applyFont="1" applyFill="1" applyBorder="1" applyAlignment="1">
      <alignment vertical="center" wrapText="1"/>
    </xf>
    <xf numFmtId="3" fontId="2" fillId="2" borderId="4" xfId="1" applyNumberFormat="1" applyFont="1" applyFill="1" applyBorder="1" applyAlignment="1">
      <alignment horizontal="right" indent="1"/>
    </xf>
    <xf numFmtId="3" fontId="13" fillId="2" borderId="4" xfId="1" applyNumberFormat="1" applyFont="1" applyFill="1" applyBorder="1"/>
    <xf numFmtId="0" fontId="14" fillId="2" borderId="5" xfId="1" applyFont="1" applyFill="1" applyBorder="1" applyAlignment="1">
      <alignment horizontal="center" vertical="center"/>
    </xf>
    <xf numFmtId="0" fontId="15" fillId="2" borderId="6" xfId="1" applyFont="1" applyFill="1" applyBorder="1" applyAlignment="1">
      <alignment vertical="center"/>
    </xf>
    <xf numFmtId="3" fontId="2" fillId="2" borderId="1" xfId="1" applyNumberFormat="1" applyFont="1" applyFill="1" applyBorder="1" applyAlignment="1">
      <alignment horizontal="right" indent="1"/>
    </xf>
    <xf numFmtId="3" fontId="2" fillId="2" borderId="1" xfId="1" applyNumberFormat="1" applyFont="1" applyFill="1" applyBorder="1"/>
    <xf numFmtId="3" fontId="2" fillId="2" borderId="4" xfId="1" applyNumberFormat="1" applyFont="1" applyFill="1" applyBorder="1"/>
    <xf numFmtId="164" fontId="2" fillId="2" borderId="4" xfId="1" applyNumberFormat="1" applyFont="1" applyFill="1" applyBorder="1" applyAlignment="1">
      <alignment horizontal="center" vertical="center"/>
    </xf>
    <xf numFmtId="0" fontId="14" fillId="2" borderId="3" xfId="1" applyFont="1" applyFill="1" applyBorder="1"/>
    <xf numFmtId="164" fontId="10" fillId="2" borderId="4" xfId="1" applyNumberFormat="1" applyFont="1" applyFill="1" applyBorder="1"/>
    <xf numFmtId="0" fontId="10" fillId="2" borderId="4" xfId="1" applyFont="1" applyFill="1" applyBorder="1"/>
    <xf numFmtId="0" fontId="13" fillId="2" borderId="4" xfId="1" applyFont="1" applyFill="1" applyBorder="1"/>
    <xf numFmtId="3" fontId="13" fillId="2" borderId="4" xfId="1" applyNumberFormat="1" applyFont="1" applyFill="1" applyBorder="1" applyAlignment="1">
      <alignment horizontal="right" vertical="center"/>
    </xf>
    <xf numFmtId="165" fontId="13" fillId="2" borderId="4" xfId="4" applyFont="1" applyFill="1" applyBorder="1"/>
    <xf numFmtId="0" fontId="17" fillId="2" borderId="4" xfId="1" applyFont="1" applyFill="1" applyBorder="1"/>
    <xf numFmtId="164" fontId="9" fillId="2" borderId="4" xfId="2" applyNumberFormat="1" applyFont="1" applyFill="1" applyBorder="1"/>
    <xf numFmtId="0" fontId="9" fillId="2" borderId="4" xfId="1" applyFont="1" applyFill="1" applyBorder="1" applyAlignment="1">
      <alignment horizontal="left" indent="1"/>
    </xf>
    <xf numFmtId="0" fontId="2" fillId="2" borderId="4" xfId="1" applyFont="1" applyFill="1" applyBorder="1"/>
    <xf numFmtId="0" fontId="3" fillId="2" borderId="4" xfId="1" applyFont="1" applyFill="1" applyBorder="1"/>
    <xf numFmtId="164" fontId="13" fillId="2" borderId="4" xfId="1" applyNumberFormat="1" applyFont="1" applyFill="1" applyBorder="1"/>
    <xf numFmtId="0" fontId="2" fillId="2" borderId="4" xfId="1" applyFont="1" applyFill="1" applyBorder="1" applyAlignment="1">
      <alignment horizontal="left" indent="1"/>
    </xf>
    <xf numFmtId="167" fontId="13" fillId="2" borderId="2" xfId="1" quotePrefix="1" applyNumberFormat="1" applyFont="1" applyFill="1" applyBorder="1"/>
    <xf numFmtId="1" fontId="13" fillId="2" borderId="4" xfId="1" applyNumberFormat="1" applyFont="1" applyFill="1" applyBorder="1"/>
    <xf numFmtId="164" fontId="10" fillId="2" borderId="2" xfId="1" quotePrefix="1" applyNumberFormat="1" applyFont="1" applyFill="1" applyBorder="1"/>
    <xf numFmtId="10" fontId="10" fillId="2" borderId="2" xfId="1" quotePrefix="1" applyNumberFormat="1" applyFont="1" applyFill="1" applyBorder="1"/>
    <xf numFmtId="0" fontId="20" fillId="2" borderId="4" xfId="1" applyFont="1" applyFill="1" applyBorder="1" applyAlignment="1">
      <alignment vertical="center" wrapText="1"/>
    </xf>
    <xf numFmtId="1" fontId="2" fillId="2" borderId="4" xfId="1" applyNumberFormat="1" applyFont="1" applyFill="1" applyBorder="1"/>
    <xf numFmtId="1" fontId="2" fillId="2" borderId="3" xfId="1" applyNumberFormat="1" applyFont="1" applyFill="1" applyBorder="1"/>
    <xf numFmtId="1" fontId="2" fillId="2" borderId="4" xfId="1" applyNumberFormat="1" applyFont="1" applyFill="1" applyBorder="1" applyAlignment="1">
      <alignment horizontal="left" indent="1"/>
    </xf>
    <xf numFmtId="1" fontId="13" fillId="2" borderId="3" xfId="1" applyNumberFormat="1" applyFont="1" applyFill="1" applyBorder="1"/>
    <xf numFmtId="9" fontId="10" fillId="2" borderId="4" xfId="1" applyNumberFormat="1" applyFont="1" applyFill="1" applyBorder="1"/>
    <xf numFmtId="10" fontId="10" fillId="2" borderId="4" xfId="1" applyNumberFormat="1" applyFont="1" applyFill="1" applyBorder="1"/>
    <xf numFmtId="164" fontId="10" fillId="2" borderId="4" xfId="2" applyNumberFormat="1" applyFont="1" applyFill="1" applyBorder="1" applyAlignment="1">
      <alignment vertical="center"/>
    </xf>
    <xf numFmtId="3" fontId="9" fillId="2" borderId="4" xfId="5" applyNumberFormat="1" applyFont="1" applyFill="1" applyBorder="1"/>
    <xf numFmtId="3" fontId="9" fillId="2" borderId="4" xfId="1" applyNumberFormat="1" applyFont="1" applyFill="1" applyBorder="1"/>
    <xf numFmtId="0" fontId="9" fillId="2" borderId="4" xfId="1" applyFont="1" applyFill="1" applyBorder="1"/>
    <xf numFmtId="166" fontId="2" fillId="2" borderId="0" xfId="4" applyNumberFormat="1" applyFont="1" applyFill="1"/>
    <xf numFmtId="166" fontId="9" fillId="2" borderId="0" xfId="4" applyNumberFormat="1" applyFont="1" applyFill="1" applyBorder="1"/>
    <xf numFmtId="166" fontId="9" fillId="2" borderId="4" xfId="4" applyNumberFormat="1" applyFont="1" applyFill="1" applyBorder="1"/>
    <xf numFmtId="0" fontId="13" fillId="2" borderId="0" xfId="1" applyFont="1" applyFill="1"/>
    <xf numFmtId="0" fontId="17" fillId="2" borderId="4" xfId="1" applyFont="1" applyFill="1" applyBorder="1" applyAlignment="1">
      <alignment vertical="center"/>
    </xf>
    <xf numFmtId="3" fontId="2" fillId="2" borderId="2" xfId="1" applyNumberFormat="1" applyFont="1" applyFill="1" applyBorder="1"/>
    <xf numFmtId="0" fontId="13" fillId="2" borderId="4" xfId="1" applyFont="1" applyFill="1" applyBorder="1" applyAlignment="1">
      <alignment horizontal="center"/>
    </xf>
    <xf numFmtId="0" fontId="13" fillId="2" borderId="1" xfId="1" applyFont="1" applyFill="1" applyBorder="1" applyAlignment="1">
      <alignment horizontal="center"/>
    </xf>
    <xf numFmtId="17" fontId="13" fillId="2" borderId="5" xfId="1" quotePrefix="1" applyNumberFormat="1" applyFont="1" applyFill="1" applyBorder="1" applyAlignment="1">
      <alignment horizontal="center"/>
    </xf>
    <xf numFmtId="17" fontId="13" fillId="2" borderId="5" xfId="1" applyNumberFormat="1" applyFont="1" applyFill="1" applyBorder="1" applyAlignment="1">
      <alignment horizontal="center"/>
    </xf>
    <xf numFmtId="0" fontId="13" fillId="2" borderId="5" xfId="1" quotePrefix="1" applyFont="1" applyFill="1" applyBorder="1" applyAlignment="1">
      <alignment horizontal="center"/>
    </xf>
    <xf numFmtId="0" fontId="2" fillId="2" borderId="5" xfId="1" applyFont="1" applyFill="1" applyBorder="1"/>
    <xf numFmtId="0" fontId="26" fillId="2" borderId="0" xfId="0" applyFont="1" applyFill="1" applyAlignment="1">
      <alignment vertical="center"/>
    </xf>
    <xf numFmtId="0" fontId="28" fillId="2" borderId="0" xfId="0" applyFont="1" applyFill="1" applyAlignment="1">
      <alignment vertical="center"/>
    </xf>
    <xf numFmtId="166" fontId="28" fillId="2" borderId="7" xfId="8" applyNumberFormat="1" applyFont="1" applyFill="1" applyBorder="1" applyAlignment="1">
      <alignment vertical="center"/>
    </xf>
    <xf numFmtId="0" fontId="28" fillId="2" borderId="7" xfId="0" applyFont="1" applyFill="1" applyBorder="1" applyAlignment="1">
      <alignment horizontal="center" vertical="center"/>
    </xf>
    <xf numFmtId="0" fontId="26" fillId="2" borderId="4" xfId="0" applyFont="1" applyFill="1" applyBorder="1" applyAlignment="1">
      <alignment horizontal="left" vertical="center" indent="2"/>
    </xf>
    <xf numFmtId="0" fontId="15" fillId="2" borderId="7" xfId="0" applyFont="1" applyFill="1" applyBorder="1" applyAlignment="1">
      <alignment horizontal="center" vertical="center" wrapText="1"/>
    </xf>
    <xf numFmtId="0" fontId="15" fillId="2" borderId="7" xfId="0" applyFont="1" applyFill="1" applyBorder="1" applyAlignment="1">
      <alignment horizontal="center" vertical="center"/>
    </xf>
    <xf numFmtId="0" fontId="28" fillId="2" borderId="0" xfId="0" applyFont="1" applyFill="1" applyAlignment="1">
      <alignment horizontal="center" vertical="center"/>
    </xf>
    <xf numFmtId="166" fontId="26" fillId="2" borderId="0" xfId="0" applyNumberFormat="1" applyFont="1" applyFill="1" applyAlignment="1">
      <alignment vertical="center"/>
    </xf>
    <xf numFmtId="166" fontId="28" fillId="2" borderId="0" xfId="8" applyNumberFormat="1" applyFont="1" applyFill="1" applyBorder="1" applyAlignment="1">
      <alignment horizontal="center" vertical="center"/>
    </xf>
    <xf numFmtId="37" fontId="30" fillId="2" borderId="7" xfId="8" applyNumberFormat="1" applyFont="1" applyFill="1" applyBorder="1" applyAlignment="1">
      <alignment vertical="center"/>
    </xf>
    <xf numFmtId="166" fontId="31" fillId="2" borderId="4" xfId="8" applyNumberFormat="1" applyFont="1" applyFill="1" applyBorder="1" applyAlignment="1">
      <alignment horizontal="right" vertical="center"/>
    </xf>
    <xf numFmtId="166" fontId="33" fillId="2" borderId="4" xfId="8" applyNumberFormat="1" applyFont="1" applyFill="1" applyBorder="1" applyAlignment="1">
      <alignment horizontal="right" vertical="center"/>
    </xf>
    <xf numFmtId="166" fontId="28" fillId="2" borderId="4" xfId="8" applyNumberFormat="1" applyFont="1" applyFill="1" applyBorder="1" applyAlignment="1">
      <alignment horizontal="center" vertical="center"/>
    </xf>
    <xf numFmtId="37" fontId="26" fillId="2" borderId="4" xfId="8" applyNumberFormat="1" applyFont="1" applyFill="1" applyBorder="1" applyAlignment="1">
      <alignment vertical="center"/>
    </xf>
    <xf numFmtId="0" fontId="32" fillId="2" borderId="4" xfId="0" applyFont="1" applyFill="1" applyBorder="1" applyAlignment="1">
      <alignment horizontal="left" vertical="center" wrapText="1" indent="3"/>
    </xf>
    <xf numFmtId="166" fontId="35" fillId="2" borderId="4" xfId="8" applyNumberFormat="1" applyFont="1" applyFill="1" applyBorder="1" applyAlignment="1">
      <alignment horizontal="right" vertical="center"/>
    </xf>
    <xf numFmtId="0" fontId="26" fillId="2" borderId="4" xfId="0" applyFont="1" applyFill="1" applyBorder="1" applyAlignment="1">
      <alignment horizontal="left" vertical="center" wrapText="1" indent="2"/>
    </xf>
    <xf numFmtId="166" fontId="37" fillId="2" borderId="4" xfId="8" applyNumberFormat="1" applyFont="1" applyFill="1" applyBorder="1" applyAlignment="1">
      <alignment horizontal="right" vertical="center"/>
    </xf>
    <xf numFmtId="166" fontId="26" fillId="2" borderId="4" xfId="8" applyNumberFormat="1" applyFont="1" applyFill="1" applyBorder="1" applyAlignment="1">
      <alignment vertical="center"/>
    </xf>
    <xf numFmtId="166" fontId="37" fillId="2" borderId="4" xfId="8" applyNumberFormat="1" applyFont="1" applyFill="1" applyBorder="1" applyAlignment="1">
      <alignment vertical="center"/>
    </xf>
    <xf numFmtId="0" fontId="28" fillId="2" borderId="0" xfId="0" applyFont="1" applyFill="1" applyAlignment="1">
      <alignment horizontal="right" vertical="center"/>
    </xf>
    <xf numFmtId="164" fontId="26" fillId="2" borderId="0" xfId="2" applyNumberFormat="1" applyFont="1" applyFill="1"/>
    <xf numFmtId="166" fontId="13" fillId="2" borderId="0" xfId="4" applyNumberFormat="1" applyFont="1" applyFill="1"/>
    <xf numFmtId="0" fontId="9" fillId="2" borderId="0" xfId="10" applyFont="1" applyFill="1" applyAlignment="1">
      <alignment vertical="center"/>
    </xf>
    <xf numFmtId="166" fontId="2" fillId="2" borderId="0" xfId="4" applyNumberFormat="1" applyFont="1" applyFill="1" applyAlignment="1"/>
    <xf numFmtId="0" fontId="39" fillId="2" borderId="0" xfId="1" applyFont="1" applyFill="1" applyAlignment="1">
      <alignment vertical="top" wrapText="1"/>
    </xf>
    <xf numFmtId="0" fontId="3" fillId="2" borderId="1" xfId="1" applyFont="1" applyFill="1" applyBorder="1"/>
    <xf numFmtId="3" fontId="13" fillId="2" borderId="4" xfId="1" applyNumberFormat="1" applyFont="1" applyFill="1" applyBorder="1" applyAlignment="1">
      <alignment vertical="center"/>
    </xf>
    <xf numFmtId="0" fontId="13" fillId="2" borderId="4" xfId="1" applyFont="1" applyFill="1" applyBorder="1" applyAlignment="1">
      <alignment wrapText="1"/>
    </xf>
    <xf numFmtId="166" fontId="9" fillId="2" borderId="4" xfId="4" applyNumberFormat="1" applyFont="1" applyFill="1" applyBorder="1" applyAlignment="1">
      <alignment horizontal="right"/>
    </xf>
    <xf numFmtId="165" fontId="9" fillId="2" borderId="4" xfId="4" applyFont="1" applyFill="1" applyBorder="1"/>
    <xf numFmtId="0" fontId="13" fillId="2" borderId="4" xfId="1" applyFont="1" applyFill="1" applyBorder="1" applyAlignment="1">
      <alignment horizontal="left"/>
    </xf>
    <xf numFmtId="166" fontId="13" fillId="2" borderId="4" xfId="4" applyNumberFormat="1" applyFont="1" applyFill="1" applyBorder="1"/>
    <xf numFmtId="3" fontId="3" fillId="2" borderId="4" xfId="1" applyNumberFormat="1" applyFont="1" applyFill="1" applyBorder="1"/>
    <xf numFmtId="3" fontId="9" fillId="0" borderId="4" xfId="1" applyNumberFormat="1" applyFont="1" applyBorder="1"/>
    <xf numFmtId="3" fontId="2" fillId="0" borderId="4" xfId="1" applyNumberFormat="1" applyFont="1" applyBorder="1"/>
    <xf numFmtId="3" fontId="40" fillId="2" borderId="4" xfId="1" applyNumberFormat="1" applyFont="1" applyFill="1" applyBorder="1"/>
    <xf numFmtId="3" fontId="9" fillId="0" borderId="4" xfId="5" applyNumberFormat="1" applyFont="1" applyBorder="1"/>
    <xf numFmtId="0" fontId="10" fillId="2" borderId="1" xfId="1" applyFont="1" applyFill="1" applyBorder="1" applyAlignment="1">
      <alignment horizontal="center"/>
    </xf>
    <xf numFmtId="0" fontId="2" fillId="2" borderId="0" xfId="1" applyFont="1" applyFill="1" applyAlignment="1">
      <alignment horizontal="center"/>
    </xf>
    <xf numFmtId="0" fontId="26" fillId="2" borderId="0" xfId="0" applyFont="1" applyFill="1"/>
    <xf numFmtId="0" fontId="0" fillId="2" borderId="0" xfId="0" applyFill="1"/>
    <xf numFmtId="0" fontId="27" fillId="2" borderId="0" xfId="0" applyFont="1" applyFill="1"/>
    <xf numFmtId="0" fontId="14" fillId="2" borderId="0" xfId="0" applyFont="1" applyFill="1"/>
    <xf numFmtId="166" fontId="2" fillId="2" borderId="0" xfId="7" applyNumberFormat="1" applyFont="1" applyFill="1" applyBorder="1"/>
    <xf numFmtId="166" fontId="14" fillId="2" borderId="0" xfId="7" applyNumberFormat="1" applyFont="1" applyFill="1" applyBorder="1" applyAlignment="1">
      <alignment horizontal="right"/>
    </xf>
    <xf numFmtId="3" fontId="14" fillId="2" borderId="0" xfId="0" applyNumberFormat="1" applyFont="1" applyFill="1"/>
    <xf numFmtId="3" fontId="2" fillId="2" borderId="0" xfId="12" applyNumberFormat="1" applyFont="1" applyFill="1" applyAlignment="1">
      <alignment horizontal="right" vertical="center"/>
    </xf>
    <xf numFmtId="0" fontId="2" fillId="2" borderId="0" xfId="0" applyFont="1" applyFill="1"/>
    <xf numFmtId="0" fontId="2" fillId="2" borderId="0" xfId="0" applyFont="1" applyFill="1" applyAlignment="1">
      <alignment horizontal="left"/>
    </xf>
    <xf numFmtId="1" fontId="4" fillId="2" borderId="0" xfId="11" applyNumberFormat="1" applyFill="1"/>
    <xf numFmtId="1" fontId="26" fillId="2" borderId="0" xfId="0" applyNumberFormat="1" applyFont="1" applyFill="1"/>
    <xf numFmtId="0" fontId="27" fillId="2" borderId="1" xfId="0" applyFont="1" applyFill="1" applyBorder="1"/>
    <xf numFmtId="0" fontId="2" fillId="2" borderId="1" xfId="0" applyFont="1" applyFill="1" applyBorder="1"/>
    <xf numFmtId="0" fontId="26" fillId="2" borderId="1" xfId="0" applyFont="1" applyFill="1" applyBorder="1"/>
    <xf numFmtId="0" fontId="2" fillId="2" borderId="8" xfId="0" applyFont="1" applyFill="1" applyBorder="1"/>
    <xf numFmtId="164" fontId="30" fillId="2" borderId="4" xfId="0" applyNumberFormat="1" applyFont="1" applyFill="1" applyBorder="1"/>
    <xf numFmtId="164" fontId="13" fillId="2" borderId="4" xfId="0" applyNumberFormat="1" applyFont="1" applyFill="1" applyBorder="1"/>
    <xf numFmtId="0" fontId="10" fillId="2" borderId="4" xfId="0" applyFont="1" applyFill="1" applyBorder="1"/>
    <xf numFmtId="0" fontId="27" fillId="2" borderId="4" xfId="0" applyFont="1" applyFill="1" applyBorder="1"/>
    <xf numFmtId="0" fontId="2" fillId="2" borderId="4" xfId="0" applyFont="1" applyFill="1" applyBorder="1"/>
    <xf numFmtId="0" fontId="13" fillId="2" borderId="2" xfId="0" applyFont="1" applyFill="1" applyBorder="1"/>
    <xf numFmtId="3" fontId="30" fillId="2" borderId="4" xfId="0" applyNumberFormat="1" applyFont="1" applyFill="1" applyBorder="1"/>
    <xf numFmtId="3" fontId="13" fillId="2" borderId="4" xfId="0" applyNumberFormat="1" applyFont="1" applyFill="1" applyBorder="1"/>
    <xf numFmtId="3" fontId="13" fillId="2" borderId="2" xfId="0" applyNumberFormat="1" applyFont="1" applyFill="1" applyBorder="1"/>
    <xf numFmtId="0" fontId="13" fillId="2" borderId="4" xfId="0" applyFont="1" applyFill="1" applyBorder="1"/>
    <xf numFmtId="0" fontId="26" fillId="2" borderId="4" xfId="0" applyFont="1" applyFill="1" applyBorder="1"/>
    <xf numFmtId="166" fontId="2" fillId="2" borderId="4" xfId="7" applyNumberFormat="1" applyFont="1" applyFill="1" applyBorder="1"/>
    <xf numFmtId="3" fontId="2" fillId="2" borderId="4" xfId="0" applyNumberFormat="1" applyFont="1" applyFill="1" applyBorder="1"/>
    <xf numFmtId="0" fontId="2" fillId="2" borderId="2" xfId="0" applyFont="1" applyFill="1" applyBorder="1"/>
    <xf numFmtId="3" fontId="27" fillId="2" borderId="4" xfId="0" applyNumberFormat="1" applyFont="1" applyFill="1" applyBorder="1"/>
    <xf numFmtId="43" fontId="2" fillId="2" borderId="4" xfId="7" applyFont="1" applyFill="1" applyBorder="1"/>
    <xf numFmtId="3" fontId="27" fillId="0" borderId="4" xfId="0" applyNumberFormat="1" applyFont="1" applyBorder="1"/>
    <xf numFmtId="3" fontId="2" fillId="2" borderId="2" xfId="0" applyNumberFormat="1" applyFont="1" applyFill="1" applyBorder="1"/>
    <xf numFmtId="166" fontId="3" fillId="2" borderId="4" xfId="7" applyNumberFormat="1" applyFont="1" applyFill="1" applyBorder="1"/>
    <xf numFmtId="0" fontId="2" fillId="0" borderId="4" xfId="0" applyFont="1" applyBorder="1"/>
    <xf numFmtId="0" fontId="14" fillId="2" borderId="4" xfId="0" applyFont="1" applyFill="1" applyBorder="1"/>
    <xf numFmtId="166" fontId="26" fillId="2" borderId="0" xfId="0" applyNumberFormat="1" applyFont="1" applyFill="1"/>
    <xf numFmtId="1" fontId="2" fillId="2" borderId="4" xfId="0" applyNumberFormat="1" applyFont="1" applyFill="1" applyBorder="1"/>
    <xf numFmtId="166" fontId="11" fillId="2" borderId="4" xfId="7" applyNumberFormat="1" applyFont="1" applyFill="1" applyBorder="1"/>
    <xf numFmtId="0" fontId="27" fillId="2" borderId="5" xfId="0" applyFont="1" applyFill="1" applyBorder="1" applyAlignment="1">
      <alignment horizontal="center"/>
    </xf>
    <xf numFmtId="0" fontId="27" fillId="0" borderId="5" xfId="0" applyFont="1" applyBorder="1" applyAlignment="1">
      <alignment horizontal="center"/>
    </xf>
    <xf numFmtId="0" fontId="2" fillId="0" borderId="5" xfId="0" applyFont="1" applyBorder="1" applyAlignment="1">
      <alignment horizontal="center"/>
    </xf>
    <xf numFmtId="0" fontId="2" fillId="2" borderId="5" xfId="0" applyFont="1" applyFill="1" applyBorder="1" applyAlignment="1">
      <alignment horizontal="center"/>
    </xf>
    <xf numFmtId="0" fontId="2" fillId="2" borderId="5" xfId="0" applyFont="1" applyFill="1" applyBorder="1"/>
    <xf numFmtId="0" fontId="2" fillId="2" borderId="10" xfId="0" applyFont="1" applyFill="1" applyBorder="1"/>
    <xf numFmtId="0" fontId="45" fillId="2" borderId="0" xfId="0" applyFont="1" applyFill="1" applyAlignment="1">
      <alignment vertical="center"/>
    </xf>
    <xf numFmtId="17" fontId="17" fillId="2" borderId="7" xfId="0" quotePrefix="1" applyNumberFormat="1"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5" xfId="0" applyFont="1" applyFill="1" applyBorder="1" applyAlignment="1">
      <alignment vertical="center"/>
    </xf>
    <xf numFmtId="0" fontId="26" fillId="2" borderId="0" xfId="0" applyFont="1" applyFill="1" applyAlignment="1">
      <alignment horizontal="right"/>
    </xf>
    <xf numFmtId="0" fontId="13" fillId="2" borderId="0" xfId="0" applyFont="1" applyFill="1" applyAlignment="1">
      <alignment horizontal="centerContinuous"/>
    </xf>
    <xf numFmtId="0" fontId="13" fillId="2" borderId="0" xfId="0" applyFont="1" applyFill="1"/>
    <xf numFmtId="0" fontId="15" fillId="2" borderId="0" xfId="0" applyFont="1" applyFill="1"/>
    <xf numFmtId="0" fontId="28" fillId="2" borderId="0" xfId="0" applyFont="1" applyFill="1"/>
    <xf numFmtId="169" fontId="28" fillId="2" borderId="0" xfId="0" applyNumberFormat="1" applyFont="1" applyFill="1"/>
    <xf numFmtId="0" fontId="28" fillId="2" borderId="0" xfId="0" applyFont="1" applyFill="1" applyAlignment="1">
      <alignment horizontal="center"/>
    </xf>
    <xf numFmtId="169" fontId="26" fillId="2" borderId="0" xfId="8" applyNumberFormat="1" applyFont="1" applyFill="1" applyBorder="1"/>
    <xf numFmtId="0" fontId="14" fillId="2" borderId="0" xfId="0" applyFont="1" applyFill="1" applyAlignment="1">
      <alignment vertical="top"/>
    </xf>
    <xf numFmtId="0" fontId="15" fillId="2" borderId="0" xfId="0" applyFont="1" applyFill="1" applyAlignment="1">
      <alignment horizontal="center"/>
    </xf>
    <xf numFmtId="167" fontId="26" fillId="2" borderId="0" xfId="0" applyNumberFormat="1" applyFont="1" applyFill="1"/>
    <xf numFmtId="0" fontId="15" fillId="2" borderId="1" xfId="0" applyFont="1" applyFill="1" applyBorder="1"/>
    <xf numFmtId="0" fontId="15" fillId="2" borderId="9" xfId="0" applyFont="1" applyFill="1" applyBorder="1"/>
    <xf numFmtId="0" fontId="14" fillId="2" borderId="8" xfId="0" applyFont="1" applyFill="1" applyBorder="1"/>
    <xf numFmtId="0" fontId="15" fillId="2" borderId="8" xfId="0" applyFont="1" applyFill="1" applyBorder="1"/>
    <xf numFmtId="0" fontId="14" fillId="2" borderId="1" xfId="0" applyFont="1" applyFill="1" applyBorder="1"/>
    <xf numFmtId="167" fontId="15" fillId="2" borderId="4" xfId="8" applyNumberFormat="1" applyFont="1" applyFill="1" applyBorder="1"/>
    <xf numFmtId="167" fontId="15" fillId="2" borderId="3" xfId="8" applyNumberFormat="1" applyFont="1" applyFill="1" applyBorder="1"/>
    <xf numFmtId="167" fontId="15" fillId="2" borderId="2" xfId="8" applyNumberFormat="1" applyFont="1" applyFill="1" applyBorder="1"/>
    <xf numFmtId="0" fontId="15" fillId="2" borderId="4" xfId="0" applyFont="1" applyFill="1" applyBorder="1"/>
    <xf numFmtId="167" fontId="14" fillId="2" borderId="4" xfId="8" applyNumberFormat="1" applyFont="1" applyFill="1" applyBorder="1"/>
    <xf numFmtId="0" fontId="15" fillId="2" borderId="3" xfId="0" applyFont="1" applyFill="1" applyBorder="1"/>
    <xf numFmtId="167" fontId="14" fillId="2" borderId="2" xfId="8" applyNumberFormat="1" applyFont="1" applyFill="1" applyBorder="1"/>
    <xf numFmtId="0" fontId="46" fillId="2" borderId="4" xfId="0" applyFont="1" applyFill="1" applyBorder="1"/>
    <xf numFmtId="0" fontId="15" fillId="2" borderId="4" xfId="0" applyFont="1" applyFill="1" applyBorder="1" applyAlignment="1">
      <alignment horizontal="center"/>
    </xf>
    <xf numFmtId="0" fontId="11" fillId="2" borderId="4" xfId="0" quotePrefix="1" applyFont="1" applyFill="1" applyBorder="1"/>
    <xf numFmtId="167" fontId="11" fillId="2" borderId="4" xfId="8" applyNumberFormat="1" applyFont="1" applyFill="1" applyBorder="1"/>
    <xf numFmtId="167" fontId="15" fillId="2" borderId="4" xfId="0" applyNumberFormat="1" applyFont="1" applyFill="1" applyBorder="1"/>
    <xf numFmtId="167" fontId="15" fillId="2" borderId="3" xfId="0" applyNumberFormat="1" applyFont="1" applyFill="1" applyBorder="1"/>
    <xf numFmtId="167" fontId="11" fillId="2" borderId="2" xfId="8" applyNumberFormat="1" applyFont="1" applyFill="1" applyBorder="1"/>
    <xf numFmtId="167" fontId="12" fillId="2" borderId="2" xfId="8" applyNumberFormat="1" applyFont="1" applyFill="1" applyBorder="1"/>
    <xf numFmtId="0" fontId="15" fillId="2" borderId="4" xfId="0" applyFont="1" applyFill="1" applyBorder="1" applyAlignment="1">
      <alignment horizontal="left" wrapText="1"/>
    </xf>
    <xf numFmtId="165" fontId="14" fillId="2" borderId="4" xfId="8" applyFont="1" applyFill="1" applyBorder="1"/>
    <xf numFmtId="167" fontId="15" fillId="2" borderId="4" xfId="8" applyNumberFormat="1" applyFont="1" applyFill="1" applyBorder="1" applyAlignment="1">
      <alignment vertical="top"/>
    </xf>
    <xf numFmtId="167" fontId="15" fillId="2" borderId="3" xfId="8" applyNumberFormat="1" applyFont="1" applyFill="1" applyBorder="1" applyAlignment="1">
      <alignment vertical="top"/>
    </xf>
    <xf numFmtId="167" fontId="15" fillId="2" borderId="2" xfId="8" applyNumberFormat="1" applyFont="1" applyFill="1" applyBorder="1" applyAlignment="1">
      <alignment vertical="top"/>
    </xf>
    <xf numFmtId="0" fontId="15" fillId="2" borderId="4" xfId="0" applyFont="1" applyFill="1" applyBorder="1" applyAlignment="1">
      <alignment horizontal="center" vertical="top"/>
    </xf>
    <xf numFmtId="166" fontId="26" fillId="2" borderId="4" xfId="8" applyNumberFormat="1" applyFont="1" applyFill="1" applyBorder="1"/>
    <xf numFmtId="0" fontId="14" fillId="2" borderId="4" xfId="0" applyFont="1" applyFill="1" applyBorder="1" applyAlignment="1">
      <alignment vertical="top"/>
    </xf>
    <xf numFmtId="1" fontId="14" fillId="2" borderId="4" xfId="0" applyNumberFormat="1" applyFont="1" applyFill="1" applyBorder="1"/>
    <xf numFmtId="0" fontId="15" fillId="2" borderId="2" xfId="0" applyFont="1" applyFill="1" applyBorder="1" applyAlignment="1">
      <alignment horizontal="center" vertical="center" wrapText="1"/>
    </xf>
    <xf numFmtId="0" fontId="15" fillId="2" borderId="5" xfId="0" applyFont="1" applyFill="1" applyBorder="1"/>
    <xf numFmtId="0" fontId="26" fillId="2" borderId="5" xfId="0" applyFont="1" applyFill="1" applyBorder="1"/>
    <xf numFmtId="0" fontId="15" fillId="2" borderId="6" xfId="0" applyFont="1" applyFill="1" applyBorder="1"/>
    <xf numFmtId="0" fontId="15" fillId="2" borderId="10" xfId="0" applyFont="1" applyFill="1" applyBorder="1" applyAlignment="1">
      <alignment horizontal="center" vertical="center" wrapText="1"/>
    </xf>
    <xf numFmtId="0" fontId="15" fillId="2" borderId="7" xfId="0" applyFont="1" applyFill="1" applyBorder="1" applyAlignment="1">
      <alignment horizontal="center" vertical="top" wrapText="1"/>
    </xf>
    <xf numFmtId="0" fontId="14" fillId="2" borderId="0" xfId="0" applyFont="1" applyFill="1" applyAlignment="1">
      <alignment horizontal="center"/>
    </xf>
    <xf numFmtId="0" fontId="2" fillId="2" borderId="0" xfId="1" applyFont="1" applyFill="1" applyAlignment="1">
      <alignment horizontal="right"/>
    </xf>
    <xf numFmtId="3" fontId="50" fillId="2" borderId="0" xfId="1" applyNumberFormat="1" applyFont="1" applyFill="1"/>
    <xf numFmtId="3" fontId="50" fillId="2" borderId="0" xfId="1" applyNumberFormat="1" applyFont="1" applyFill="1" applyAlignment="1">
      <alignment horizontal="right"/>
    </xf>
    <xf numFmtId="3" fontId="2" fillId="2" borderId="0" xfId="1" applyNumberFormat="1" applyFont="1" applyFill="1" applyAlignment="1">
      <alignment horizontal="right"/>
    </xf>
    <xf numFmtId="0" fontId="2" fillId="2" borderId="0" xfId="10" applyFont="1" applyFill="1" applyAlignment="1">
      <alignment vertical="center"/>
    </xf>
    <xf numFmtId="0" fontId="51" fillId="2" borderId="0" xfId="1" applyFont="1" applyFill="1" applyAlignment="1">
      <alignment horizontal="right"/>
    </xf>
    <xf numFmtId="0" fontId="27" fillId="2" borderId="0" xfId="1" applyFont="1" applyFill="1" applyAlignment="1">
      <alignment horizontal="right"/>
    </xf>
    <xf numFmtId="3" fontId="2" fillId="2" borderId="8" xfId="1" applyNumberFormat="1" applyFont="1" applyFill="1" applyBorder="1"/>
    <xf numFmtId="0" fontId="51" fillId="2" borderId="1" xfId="1" applyFont="1" applyFill="1" applyBorder="1" applyAlignment="1">
      <alignment horizontal="right"/>
    </xf>
    <xf numFmtId="0" fontId="51" fillId="2" borderId="9" xfId="1" applyFont="1" applyFill="1" applyBorder="1" applyAlignment="1">
      <alignment horizontal="right"/>
    </xf>
    <xf numFmtId="0" fontId="27" fillId="2" borderId="1" xfId="1" applyFont="1" applyFill="1" applyBorder="1" applyAlignment="1">
      <alignment horizontal="right"/>
    </xf>
    <xf numFmtId="0" fontId="2" fillId="2" borderId="1" xfId="1" applyFont="1" applyFill="1" applyBorder="1" applyAlignment="1">
      <alignment horizontal="right"/>
    </xf>
    <xf numFmtId="3" fontId="30" fillId="2" borderId="4" xfId="1" applyNumberFormat="1" applyFont="1" applyFill="1" applyBorder="1" applyAlignment="1">
      <alignment horizontal="right"/>
    </xf>
    <xf numFmtId="3" fontId="30" fillId="2" borderId="3" xfId="1" applyNumberFormat="1" applyFont="1" applyFill="1" applyBorder="1" applyAlignment="1">
      <alignment horizontal="right"/>
    </xf>
    <xf numFmtId="0" fontId="30" fillId="2" borderId="4" xfId="1" applyFont="1" applyFill="1" applyBorder="1" applyAlignment="1">
      <alignment horizontal="left"/>
    </xf>
    <xf numFmtId="0" fontId="51" fillId="2" borderId="4" xfId="1" applyFont="1" applyFill="1" applyBorder="1" applyAlignment="1">
      <alignment horizontal="right"/>
    </xf>
    <xf numFmtId="0" fontId="51" fillId="2" borderId="3" xfId="1" applyFont="1" applyFill="1" applyBorder="1" applyAlignment="1">
      <alignment horizontal="right"/>
    </xf>
    <xf numFmtId="0" fontId="27" fillId="2" borderId="4" xfId="1" applyFont="1" applyFill="1" applyBorder="1" applyAlignment="1">
      <alignment horizontal="right"/>
    </xf>
    <xf numFmtId="0" fontId="2" fillId="2" borderId="4" xfId="1" applyFont="1" applyFill="1" applyBorder="1" applyAlignment="1">
      <alignment horizontal="right"/>
    </xf>
    <xf numFmtId="3" fontId="27" fillId="2" borderId="4" xfId="1" applyNumberFormat="1" applyFont="1" applyFill="1" applyBorder="1" applyAlignment="1">
      <alignment horizontal="right"/>
    </xf>
    <xf numFmtId="43" fontId="50" fillId="2" borderId="2" xfId="9" applyFont="1" applyFill="1" applyBorder="1"/>
    <xf numFmtId="43" fontId="50" fillId="2" borderId="4" xfId="9" applyFont="1" applyFill="1" applyBorder="1"/>
    <xf numFmtId="3" fontId="9" fillId="2" borderId="2" xfId="1" applyNumberFormat="1" applyFont="1" applyFill="1" applyBorder="1"/>
    <xf numFmtId="0" fontId="53" fillId="2" borderId="4" xfId="1" applyFont="1" applyFill="1" applyBorder="1" applyAlignment="1">
      <alignment horizontal="left" vertical="center"/>
    </xf>
    <xf numFmtId="3" fontId="13" fillId="2" borderId="2" xfId="1" applyNumberFormat="1" applyFont="1" applyFill="1" applyBorder="1"/>
    <xf numFmtId="0" fontId="22" fillId="2" borderId="4" xfId="1" applyFont="1" applyFill="1" applyBorder="1"/>
    <xf numFmtId="3" fontId="50" fillId="2" borderId="4" xfId="1" applyNumberFormat="1" applyFont="1" applyFill="1" applyBorder="1"/>
    <xf numFmtId="3" fontId="50" fillId="2" borderId="2" xfId="1" applyNumberFormat="1" applyFont="1" applyFill="1" applyBorder="1"/>
    <xf numFmtId="3" fontId="50" fillId="2" borderId="4" xfId="1" applyNumberFormat="1" applyFont="1" applyFill="1" applyBorder="1" applyAlignment="1">
      <alignment horizontal="right"/>
    </xf>
    <xf numFmtId="3" fontId="50" fillId="2" borderId="3" xfId="1" applyNumberFormat="1" applyFont="1" applyFill="1" applyBorder="1" applyAlignment="1">
      <alignment horizontal="right"/>
    </xf>
    <xf numFmtId="0" fontId="53" fillId="2" borderId="4" xfId="1" applyFont="1" applyFill="1" applyBorder="1"/>
    <xf numFmtId="43" fontId="30" fillId="2" borderId="4" xfId="9" applyFont="1" applyFill="1" applyBorder="1" applyAlignment="1">
      <alignment horizontal="right"/>
    </xf>
    <xf numFmtId="3" fontId="30" fillId="2" borderId="4" xfId="1" applyNumberFormat="1" applyFont="1" applyFill="1" applyBorder="1" applyAlignment="1">
      <alignment horizontal="right" vertical="center"/>
    </xf>
    <xf numFmtId="0" fontId="22" fillId="2" borderId="4" xfId="1" applyFont="1" applyFill="1" applyBorder="1" applyAlignment="1">
      <alignment wrapText="1"/>
    </xf>
    <xf numFmtId="3" fontId="50" fillId="2" borderId="2" xfId="5" applyNumberFormat="1" applyFont="1" applyFill="1" applyBorder="1"/>
    <xf numFmtId="3" fontId="50" fillId="2" borderId="4" xfId="5" applyNumberFormat="1" applyFont="1" applyFill="1" applyBorder="1"/>
    <xf numFmtId="0" fontId="53" fillId="2" borderId="4" xfId="1" applyFont="1" applyFill="1" applyBorder="1" applyAlignment="1">
      <alignment horizontal="left" indent="2"/>
    </xf>
    <xf numFmtId="0" fontId="53" fillId="2" borderId="4" xfId="1" applyFont="1" applyFill="1" applyBorder="1" applyAlignment="1">
      <alignment horizontal="left" vertical="center" indent="2"/>
    </xf>
    <xf numFmtId="0" fontId="27" fillId="2" borderId="3" xfId="1" applyFont="1" applyFill="1" applyBorder="1" applyAlignment="1">
      <alignment horizontal="right"/>
    </xf>
    <xf numFmtId="0" fontId="55" fillId="2" borderId="4" xfId="1" applyFont="1" applyFill="1" applyBorder="1"/>
    <xf numFmtId="3" fontId="50" fillId="2" borderId="4" xfId="1" quotePrefix="1" applyNumberFormat="1" applyFont="1" applyFill="1" applyBorder="1" applyAlignment="1">
      <alignment horizontal="right"/>
    </xf>
    <xf numFmtId="3" fontId="50" fillId="2" borderId="3" xfId="1" quotePrefix="1" applyNumberFormat="1" applyFont="1" applyFill="1" applyBorder="1" applyAlignment="1">
      <alignment horizontal="right"/>
    </xf>
    <xf numFmtId="0" fontId="3" fillId="2" borderId="0" xfId="1" applyFont="1" applyFill="1" applyAlignment="1">
      <alignment horizontal="right"/>
    </xf>
    <xf numFmtId="0" fontId="3" fillId="2" borderId="2" xfId="1" applyFont="1" applyFill="1" applyBorder="1" applyAlignment="1">
      <alignment horizontal="right"/>
    </xf>
    <xf numFmtId="0" fontId="2" fillId="2" borderId="2" xfId="1" applyFont="1" applyFill="1" applyBorder="1" applyAlignment="1">
      <alignment horizontal="right"/>
    </xf>
    <xf numFmtId="170" fontId="50" fillId="2" borderId="2" xfId="9" applyNumberFormat="1" applyFont="1" applyFill="1" applyBorder="1"/>
    <xf numFmtId="170" fontId="50" fillId="2" borderId="4" xfId="9" applyNumberFormat="1" applyFont="1" applyFill="1" applyBorder="1"/>
    <xf numFmtId="3" fontId="56" fillId="2" borderId="4" xfId="1" applyNumberFormat="1" applyFont="1" applyFill="1" applyBorder="1" applyAlignment="1">
      <alignment horizontal="right"/>
    </xf>
    <xf numFmtId="0" fontId="50" fillId="2" borderId="4" xfId="1" applyFont="1" applyFill="1" applyBorder="1" applyAlignment="1">
      <alignment horizontal="left" indent="1"/>
    </xf>
    <xf numFmtId="3" fontId="30" fillId="2" borderId="3" xfId="1" applyNumberFormat="1" applyFont="1" applyFill="1" applyBorder="1" applyAlignment="1">
      <alignment horizontal="right" vertical="center"/>
    </xf>
    <xf numFmtId="0" fontId="22" fillId="2" borderId="4" xfId="1" applyFont="1" applyFill="1" applyBorder="1" applyAlignment="1">
      <alignment vertical="center" wrapText="1"/>
    </xf>
    <xf numFmtId="0" fontId="22" fillId="2" borderId="4" xfId="1" applyFont="1" applyFill="1" applyBorder="1" applyAlignment="1">
      <alignment horizontal="left" vertical="center"/>
    </xf>
    <xf numFmtId="3" fontId="50" fillId="2" borderId="2" xfId="1" applyNumberFormat="1" applyFont="1" applyFill="1" applyBorder="1" applyAlignment="1">
      <alignment horizontal="right"/>
    </xf>
    <xf numFmtId="3" fontId="53" fillId="2" borderId="2" xfId="1" applyNumberFormat="1" applyFont="1" applyFill="1" applyBorder="1" applyAlignment="1">
      <alignment horizontal="right"/>
    </xf>
    <xf numFmtId="3" fontId="53" fillId="2" borderId="4" xfId="1" applyNumberFormat="1" applyFont="1" applyFill="1" applyBorder="1" applyAlignment="1">
      <alignment horizontal="right"/>
    </xf>
    <xf numFmtId="0" fontId="9" fillId="2" borderId="3" xfId="1" applyFont="1" applyFill="1" applyBorder="1" applyAlignment="1">
      <alignment horizontal="left" indent="1"/>
    </xf>
    <xf numFmtId="0" fontId="9" fillId="2" borderId="4" xfId="1" applyFont="1" applyFill="1" applyBorder="1" applyAlignment="1">
      <alignment horizontal="left" indent="2"/>
    </xf>
    <xf numFmtId="0" fontId="2" fillId="2" borderId="3" xfId="1" applyFont="1" applyFill="1" applyBorder="1" applyAlignment="1">
      <alignment horizontal="right"/>
    </xf>
    <xf numFmtId="0" fontId="30" fillId="2" borderId="2" xfId="1" applyFont="1" applyFill="1" applyBorder="1" applyAlignment="1">
      <alignment horizontal="right" vertical="center" wrapText="1"/>
    </xf>
    <xf numFmtId="0" fontId="30" fillId="2" borderId="4" xfId="1" applyFont="1" applyFill="1" applyBorder="1" applyAlignment="1">
      <alignment horizontal="right" vertical="center" wrapText="1"/>
    </xf>
    <xf numFmtId="3" fontId="27" fillId="2" borderId="2" xfId="1" applyNumberFormat="1" applyFont="1" applyFill="1" applyBorder="1" applyAlignment="1">
      <alignment horizontal="right"/>
    </xf>
    <xf numFmtId="3" fontId="27" fillId="2" borderId="2" xfId="1" applyNumberFormat="1" applyFont="1" applyFill="1" applyBorder="1"/>
    <xf numFmtId="3" fontId="27" fillId="2" borderId="4" xfId="1" applyNumberFormat="1" applyFont="1" applyFill="1" applyBorder="1"/>
    <xf numFmtId="3" fontId="27" fillId="2" borderId="3" xfId="1" applyNumberFormat="1" applyFont="1" applyFill="1" applyBorder="1" applyAlignment="1">
      <alignment horizontal="right"/>
    </xf>
    <xf numFmtId="1" fontId="27" fillId="2" borderId="2" xfId="1" applyNumberFormat="1" applyFont="1" applyFill="1" applyBorder="1" applyAlignment="1">
      <alignment horizontal="right" vertical="center" wrapText="1"/>
    </xf>
    <xf numFmtId="1" fontId="27" fillId="2" borderId="4" xfId="1" applyNumberFormat="1" applyFont="1" applyFill="1" applyBorder="1" applyAlignment="1">
      <alignment horizontal="right" vertical="center" wrapText="1"/>
    </xf>
    <xf numFmtId="0" fontId="27" fillId="2" borderId="2" xfId="1" applyFont="1" applyFill="1" applyBorder="1" applyAlignment="1">
      <alignment horizontal="right" vertical="center" wrapText="1"/>
    </xf>
    <xf numFmtId="3" fontId="2" fillId="2" borderId="5" xfId="1" applyNumberFormat="1" applyFont="1" applyFill="1" applyBorder="1" applyAlignment="1">
      <alignment horizontal="center"/>
    </xf>
    <xf numFmtId="0" fontId="2" fillId="2" borderId="5" xfId="1" applyFont="1" applyFill="1" applyBorder="1" applyAlignment="1">
      <alignment horizontal="center"/>
    </xf>
    <xf numFmtId="0" fontId="2" fillId="2" borderId="2" xfId="1" applyFont="1" applyFill="1" applyBorder="1"/>
    <xf numFmtId="17" fontId="58" fillId="2" borderId="5" xfId="1" applyNumberFormat="1" applyFont="1" applyFill="1" applyBorder="1" applyAlignment="1">
      <alignment horizontal="center" vertical="center"/>
    </xf>
    <xf numFmtId="17" fontId="22" fillId="2" borderId="5" xfId="1" applyNumberFormat="1" applyFont="1" applyFill="1" applyBorder="1" applyAlignment="1">
      <alignment horizontal="center" vertical="center"/>
    </xf>
    <xf numFmtId="3" fontId="55" fillId="2" borderId="4" xfId="1" applyNumberFormat="1" applyFont="1" applyFill="1" applyBorder="1" applyAlignment="1">
      <alignment horizontal="center"/>
    </xf>
    <xf numFmtId="0" fontId="22" fillId="2" borderId="5" xfId="1" applyFont="1" applyFill="1" applyBorder="1" applyAlignment="1">
      <alignment horizontal="center" vertical="center"/>
    </xf>
    <xf numFmtId="0" fontId="27" fillId="2" borderId="0" xfId="1" applyFont="1" applyFill="1" applyAlignment="1">
      <alignment horizontal="center"/>
    </xf>
    <xf numFmtId="17" fontId="30" fillId="2" borderId="7" xfId="1" quotePrefix="1" applyNumberFormat="1" applyFont="1" applyFill="1" applyBorder="1" applyAlignment="1">
      <alignment horizontal="center" vertical="center"/>
    </xf>
    <xf numFmtId="17" fontId="30" fillId="2" borderId="7" xfId="1" applyNumberFormat="1" applyFont="1" applyFill="1" applyBorder="1" applyAlignment="1">
      <alignment horizontal="center" vertical="center"/>
    </xf>
    <xf numFmtId="0" fontId="30" fillId="2" borderId="7" xfId="1" applyFont="1" applyFill="1" applyBorder="1" applyAlignment="1">
      <alignment horizontal="center" vertical="center"/>
    </xf>
    <xf numFmtId="0" fontId="59" fillId="2" borderId="0" xfId="1" applyFont="1" applyFill="1"/>
    <xf numFmtId="0" fontId="59" fillId="2" borderId="0" xfId="1" applyFont="1" applyFill="1" applyAlignment="1">
      <alignment horizontal="left" vertical="center"/>
    </xf>
    <xf numFmtId="168" fontId="2" fillId="2" borderId="0" xfId="1" applyNumberFormat="1" applyFont="1" applyFill="1"/>
    <xf numFmtId="0" fontId="2" fillId="2" borderId="11" xfId="1" applyFont="1" applyFill="1" applyBorder="1"/>
    <xf numFmtId="0" fontId="22" fillId="2" borderId="4" xfId="1" applyFont="1" applyFill="1" applyBorder="1" applyAlignment="1">
      <alignment horizontal="center"/>
    </xf>
    <xf numFmtId="3" fontId="27" fillId="0" borderId="4" xfId="1" applyNumberFormat="1" applyFont="1" applyBorder="1" applyAlignment="1">
      <alignment horizontal="right"/>
    </xf>
    <xf numFmtId="0" fontId="55" fillId="2" borderId="4" xfId="1" applyFont="1" applyFill="1" applyBorder="1" applyAlignment="1">
      <alignment horizontal="left" indent="1"/>
    </xf>
    <xf numFmtId="0" fontId="55" fillId="2" borderId="4" xfId="1" applyFont="1" applyFill="1" applyBorder="1" applyAlignment="1">
      <alignment horizontal="left" vertical="center" indent="1"/>
    </xf>
    <xf numFmtId="0" fontId="55" fillId="2" borderId="4" xfId="1" applyFont="1" applyFill="1" applyBorder="1" applyAlignment="1">
      <alignment horizontal="left" vertical="center"/>
    </xf>
    <xf numFmtId="3" fontId="60" fillId="2" borderId="4" xfId="1" applyNumberFormat="1" applyFont="1" applyFill="1" applyBorder="1" applyAlignment="1">
      <alignment horizontal="right"/>
    </xf>
    <xf numFmtId="3" fontId="51" fillId="2" borderId="4" xfId="1" applyNumberFormat="1" applyFont="1" applyFill="1" applyBorder="1" applyAlignment="1">
      <alignment horizontal="right"/>
    </xf>
    <xf numFmtId="0" fontId="27" fillId="2" borderId="4" xfId="1" applyFont="1" applyFill="1" applyBorder="1" applyAlignment="1">
      <alignment horizontal="left" indent="1"/>
    </xf>
    <xf numFmtId="3" fontId="27" fillId="2" borderId="2" xfId="1" applyNumberFormat="1" applyFont="1" applyFill="1" applyBorder="1" applyAlignment="1">
      <alignment horizontal="right" vertical="center" wrapText="1"/>
    </xf>
    <xf numFmtId="0" fontId="60" fillId="2" borderId="2" xfId="1" applyFont="1" applyFill="1" applyBorder="1" applyAlignment="1">
      <alignment horizontal="right" vertical="center" wrapText="1"/>
    </xf>
    <xf numFmtId="17" fontId="61" fillId="2" borderId="5" xfId="1" applyNumberFormat="1" applyFont="1" applyFill="1" applyBorder="1" applyAlignment="1">
      <alignment horizontal="center" vertical="center"/>
    </xf>
    <xf numFmtId="17" fontId="22" fillId="2" borderId="7" xfId="1" quotePrefix="1" applyNumberFormat="1" applyFont="1" applyFill="1" applyBorder="1" applyAlignment="1">
      <alignment horizontal="center" vertical="center"/>
    </xf>
    <xf numFmtId="17" fontId="22" fillId="2" borderId="7" xfId="1" applyNumberFormat="1" applyFont="1" applyFill="1" applyBorder="1" applyAlignment="1">
      <alignment horizontal="center" vertical="center"/>
    </xf>
    <xf numFmtId="0" fontId="22" fillId="2" borderId="7" xfId="1" applyFont="1" applyFill="1" applyBorder="1" applyAlignment="1">
      <alignment horizontal="center" vertical="center"/>
    </xf>
    <xf numFmtId="0" fontId="41" fillId="2" borderId="0" xfId="1" applyFont="1" applyFill="1" applyAlignment="1">
      <alignment horizontal="center" vertical="center"/>
    </xf>
    <xf numFmtId="0" fontId="9" fillId="2" borderId="0" xfId="1" applyFont="1" applyFill="1" applyAlignment="1">
      <alignment horizontal="left"/>
    </xf>
    <xf numFmtId="0" fontId="27" fillId="2" borderId="1" xfId="13" applyFont="1" applyFill="1" applyBorder="1" applyAlignment="1">
      <alignment horizontal="left" indent="1"/>
    </xf>
    <xf numFmtId="167" fontId="27" fillId="2" borderId="2" xfId="13" applyNumberFormat="1" applyFont="1" applyFill="1" applyBorder="1"/>
    <xf numFmtId="0" fontId="27" fillId="2" borderId="4" xfId="13" applyFont="1" applyFill="1" applyBorder="1" applyAlignment="1">
      <alignment horizontal="left" indent="1"/>
    </xf>
    <xf numFmtId="167" fontId="26" fillId="2" borderId="2" xfId="0" applyNumberFormat="1" applyFont="1" applyFill="1" applyBorder="1"/>
    <xf numFmtId="167" fontId="27" fillId="2" borderId="4" xfId="13" applyNumberFormat="1" applyFont="1" applyFill="1" applyBorder="1"/>
    <xf numFmtId="167" fontId="26" fillId="2" borderId="4" xfId="0" applyNumberFormat="1" applyFont="1" applyFill="1" applyBorder="1"/>
    <xf numFmtId="167" fontId="30" fillId="2" borderId="4" xfId="13" applyNumberFormat="1" applyFont="1" applyFill="1" applyBorder="1"/>
    <xf numFmtId="0" fontId="30" fillId="2" borderId="4" xfId="13" applyFont="1" applyFill="1" applyBorder="1" applyAlignment="1">
      <alignment horizontal="center"/>
    </xf>
    <xf numFmtId="0" fontId="30" fillId="2" borderId="5" xfId="13" applyFont="1" applyFill="1" applyBorder="1" applyAlignment="1">
      <alignment horizontal="right"/>
    </xf>
    <xf numFmtId="0" fontId="30" fillId="2" borderId="1" xfId="13" applyFont="1" applyFill="1" applyBorder="1" applyAlignment="1">
      <alignment horizontal="center"/>
    </xf>
    <xf numFmtId="171" fontId="30" fillId="2" borderId="5" xfId="13" quotePrefix="1" applyNumberFormat="1" applyFont="1" applyFill="1" applyBorder="1" applyAlignment="1">
      <alignment horizontal="center"/>
    </xf>
    <xf numFmtId="171" fontId="30" fillId="2" borderId="5" xfId="13" applyNumberFormat="1" applyFont="1" applyFill="1" applyBorder="1" applyAlignment="1">
      <alignment horizontal="center"/>
    </xf>
    <xf numFmtId="0" fontId="27" fillId="2" borderId="5" xfId="13" applyFont="1" applyFill="1" applyBorder="1"/>
    <xf numFmtId="0" fontId="27" fillId="2" borderId="0" xfId="13" applyFont="1" applyFill="1" applyAlignment="1">
      <alignment horizontal="center"/>
    </xf>
    <xf numFmtId="0" fontId="27" fillId="2" borderId="0" xfId="13" applyFont="1" applyFill="1" applyAlignment="1">
      <alignment horizontal="right"/>
    </xf>
    <xf numFmtId="167" fontId="50" fillId="2" borderId="1" xfId="13" applyNumberFormat="1" applyFont="1" applyFill="1" applyBorder="1"/>
    <xf numFmtId="0" fontId="9" fillId="2" borderId="1" xfId="0" applyFont="1" applyFill="1" applyBorder="1" applyAlignment="1">
      <alignment horizontal="left" indent="1"/>
    </xf>
    <xf numFmtId="0" fontId="27" fillId="2" borderId="6" xfId="13" applyFont="1" applyFill="1" applyBorder="1"/>
    <xf numFmtId="0" fontId="27" fillId="2" borderId="9" xfId="13" applyFont="1" applyFill="1" applyBorder="1"/>
    <xf numFmtId="0" fontId="27" fillId="2" borderId="0" xfId="13" applyFont="1" applyFill="1"/>
    <xf numFmtId="3" fontId="0" fillId="2" borderId="0" xfId="0" applyNumberFormat="1" applyFill="1"/>
    <xf numFmtId="3" fontId="13" fillId="2" borderId="0" xfId="0" applyNumberFormat="1" applyFont="1" applyFill="1"/>
    <xf numFmtId="0" fontId="2" fillId="2" borderId="0" xfId="3" applyFont="1" applyFill="1" applyAlignment="1">
      <alignment horizontal="left"/>
    </xf>
    <xf numFmtId="3" fontId="30" fillId="2" borderId="16" xfId="0" applyNumberFormat="1" applyFont="1" applyFill="1" applyBorder="1" applyAlignment="1">
      <alignment horizontal="right"/>
    </xf>
    <xf numFmtId="3" fontId="30" fillId="2" borderId="17" xfId="0" applyNumberFormat="1" applyFont="1" applyFill="1" applyBorder="1"/>
    <xf numFmtId="2" fontId="30" fillId="2" borderId="18" xfId="0" applyNumberFormat="1" applyFont="1" applyFill="1" applyBorder="1"/>
    <xf numFmtId="3" fontId="30" fillId="2" borderId="16" xfId="0" applyNumberFormat="1" applyFont="1" applyFill="1" applyBorder="1"/>
    <xf numFmtId="2" fontId="30" fillId="2" borderId="16" xfId="0" applyNumberFormat="1" applyFont="1" applyFill="1" applyBorder="1"/>
    <xf numFmtId="3" fontId="30" fillId="2" borderId="18" xfId="0" applyNumberFormat="1" applyFont="1" applyFill="1" applyBorder="1"/>
    <xf numFmtId="168" fontId="30" fillId="2" borderId="17" xfId="0" applyNumberFormat="1" applyFont="1" applyFill="1" applyBorder="1"/>
    <xf numFmtId="2" fontId="30" fillId="2" borderId="19" xfId="0" applyNumberFormat="1" applyFont="1" applyFill="1" applyBorder="1"/>
    <xf numFmtId="0" fontId="30" fillId="2" borderId="17" xfId="0" applyFont="1" applyFill="1" applyBorder="1"/>
    <xf numFmtId="169" fontId="30" fillId="2" borderId="17" xfId="8" applyNumberFormat="1" applyFont="1" applyFill="1" applyBorder="1"/>
    <xf numFmtId="165" fontId="30" fillId="2" borderId="17" xfId="8" applyFont="1" applyFill="1" applyBorder="1"/>
    <xf numFmtId="169" fontId="30" fillId="2" borderId="18" xfId="0" applyNumberFormat="1" applyFont="1" applyFill="1" applyBorder="1"/>
    <xf numFmtId="169" fontId="30" fillId="2" borderId="19" xfId="0" applyNumberFormat="1" applyFont="1" applyFill="1" applyBorder="1"/>
    <xf numFmtId="172" fontId="30" fillId="2" borderId="17" xfId="0" applyNumberFormat="1" applyFont="1" applyFill="1" applyBorder="1"/>
    <xf numFmtId="172" fontId="30" fillId="2" borderId="18" xfId="0" applyNumberFormat="1" applyFont="1" applyFill="1" applyBorder="1"/>
    <xf numFmtId="2" fontId="30" fillId="2" borderId="20" xfId="0" applyNumberFormat="1" applyFont="1" applyFill="1" applyBorder="1"/>
    <xf numFmtId="172" fontId="30" fillId="2" borderId="21" xfId="0" applyNumberFormat="1" applyFont="1" applyFill="1" applyBorder="1"/>
    <xf numFmtId="168" fontId="30" fillId="2" borderId="18" xfId="0" applyNumberFormat="1" applyFont="1" applyFill="1" applyBorder="1"/>
    <xf numFmtId="0" fontId="30" fillId="2" borderId="22" xfId="0" applyFont="1" applyFill="1" applyBorder="1" applyAlignment="1">
      <alignment horizontal="center"/>
    </xf>
    <xf numFmtId="2" fontId="2" fillId="2" borderId="23" xfId="0" applyNumberFormat="1" applyFont="1" applyFill="1" applyBorder="1" applyAlignment="1">
      <alignment horizontal="right"/>
    </xf>
    <xf numFmtId="169" fontId="27" fillId="2" borderId="4" xfId="8" applyNumberFormat="1" applyFont="1" applyFill="1" applyBorder="1"/>
    <xf numFmtId="168" fontId="2" fillId="2" borderId="24" xfId="0" applyNumberFormat="1" applyFont="1" applyFill="1" applyBorder="1"/>
    <xf numFmtId="2" fontId="2" fillId="2" borderId="23" xfId="0" applyNumberFormat="1" applyFont="1" applyFill="1" applyBorder="1"/>
    <xf numFmtId="172" fontId="2" fillId="2" borderId="24" xfId="0" applyNumberFormat="1" applyFont="1" applyFill="1" applyBorder="1"/>
    <xf numFmtId="2" fontId="27" fillId="2" borderId="23" xfId="0" applyNumberFormat="1" applyFont="1" applyFill="1" applyBorder="1"/>
    <xf numFmtId="172" fontId="2" fillId="2" borderId="2" xfId="0" applyNumberFormat="1" applyFont="1" applyFill="1" applyBorder="1"/>
    <xf numFmtId="172" fontId="2" fillId="2" borderId="4" xfId="0" applyNumberFormat="1" applyFont="1" applyFill="1" applyBorder="1"/>
    <xf numFmtId="172" fontId="27" fillId="2" borderId="4" xfId="0" applyNumberFormat="1" applyFont="1" applyFill="1" applyBorder="1"/>
    <xf numFmtId="172" fontId="27" fillId="2" borderId="27" xfId="0" applyNumberFormat="1" applyFont="1" applyFill="1" applyBorder="1"/>
    <xf numFmtId="2" fontId="2" fillId="2" borderId="28" xfId="0" applyNumberFormat="1" applyFont="1" applyFill="1" applyBorder="1"/>
    <xf numFmtId="0" fontId="2" fillId="2" borderId="29" xfId="0" applyFont="1" applyFill="1" applyBorder="1"/>
    <xf numFmtId="173" fontId="27" fillId="2" borderId="23" xfId="0" applyNumberFormat="1" applyFont="1" applyFill="1" applyBorder="1" applyAlignment="1">
      <alignment horizontal="right"/>
    </xf>
    <xf numFmtId="3" fontId="27" fillId="2" borderId="4" xfId="8" applyNumberFormat="1" applyFont="1" applyFill="1" applyBorder="1"/>
    <xf numFmtId="3" fontId="27" fillId="2" borderId="24" xfId="0" applyNumberFormat="1" applyFont="1" applyFill="1" applyBorder="1" applyAlignment="1">
      <alignment horizontal="right"/>
    </xf>
    <xf numFmtId="173" fontId="27" fillId="2" borderId="23" xfId="0" applyNumberFormat="1" applyFont="1" applyFill="1" applyBorder="1"/>
    <xf numFmtId="168" fontId="27" fillId="2" borderId="24" xfId="0" applyNumberFormat="1" applyFont="1" applyFill="1" applyBorder="1" applyAlignment="1">
      <alignment horizontal="right"/>
    </xf>
    <xf numFmtId="172" fontId="27" fillId="2" borderId="24" xfId="0" applyNumberFormat="1" applyFont="1" applyFill="1" applyBorder="1" applyAlignment="1">
      <alignment horizontal="right"/>
    </xf>
    <xf numFmtId="172" fontId="27" fillId="2" borderId="24" xfId="0" applyNumberFormat="1" applyFont="1" applyFill="1" applyBorder="1" applyAlignment="1">
      <alignment horizontal="center"/>
    </xf>
    <xf numFmtId="172" fontId="27" fillId="2" borderId="2" xfId="0" applyNumberFormat="1" applyFont="1" applyFill="1" applyBorder="1" applyAlignment="1">
      <alignment horizontal="center"/>
    </xf>
    <xf numFmtId="169" fontId="27" fillId="2" borderId="4" xfId="8" applyNumberFormat="1" applyFont="1" applyFill="1" applyBorder="1" applyAlignment="1">
      <alignment horizontal="right"/>
    </xf>
    <xf numFmtId="172" fontId="27" fillId="2" borderId="2" xfId="0" applyNumberFormat="1" applyFont="1" applyFill="1" applyBorder="1"/>
    <xf numFmtId="2" fontId="27" fillId="2" borderId="30" xfId="0" applyNumberFormat="1" applyFont="1" applyFill="1" applyBorder="1"/>
    <xf numFmtId="172" fontId="27" fillId="2" borderId="2" xfId="0" quotePrefix="1" applyNumberFormat="1" applyFont="1" applyFill="1" applyBorder="1" applyAlignment="1">
      <alignment horizontal="center"/>
    </xf>
    <xf numFmtId="172" fontId="27" fillId="2" borderId="24" xfId="0" quotePrefix="1" applyNumberFormat="1" applyFont="1" applyFill="1" applyBorder="1" applyAlignment="1">
      <alignment horizontal="center"/>
    </xf>
    <xf numFmtId="4" fontId="27" fillId="2" borderId="30" xfId="0" applyNumberFormat="1" applyFont="1" applyFill="1" applyBorder="1"/>
    <xf numFmtId="168" fontId="27" fillId="2" borderId="4" xfId="0" applyNumberFormat="1" applyFont="1" applyFill="1" applyBorder="1"/>
    <xf numFmtId="0" fontId="27" fillId="2" borderId="29" xfId="0" applyFont="1" applyFill="1" applyBorder="1"/>
    <xf numFmtId="3" fontId="27" fillId="2" borderId="24" xfId="0" applyNumberFormat="1" applyFont="1" applyFill="1" applyBorder="1"/>
    <xf numFmtId="168" fontId="27" fillId="2" borderId="24" xfId="0" applyNumberFormat="1" applyFont="1" applyFill="1" applyBorder="1"/>
    <xf numFmtId="172" fontId="27" fillId="2" borderId="24" xfId="0" applyNumberFormat="1" applyFont="1" applyFill="1" applyBorder="1"/>
    <xf numFmtId="172" fontId="27" fillId="2" borderId="0" xfId="0" applyNumberFormat="1" applyFont="1" applyFill="1"/>
    <xf numFmtId="165" fontId="27" fillId="2" borderId="4" xfId="8" applyFont="1" applyFill="1" applyBorder="1"/>
    <xf numFmtId="165" fontId="27" fillId="2" borderId="24" xfId="8" applyFont="1" applyFill="1" applyBorder="1"/>
    <xf numFmtId="173" fontId="27" fillId="2" borderId="31" xfId="0" applyNumberFormat="1" applyFont="1" applyFill="1" applyBorder="1"/>
    <xf numFmtId="173" fontId="27" fillId="2" borderId="31" xfId="0" applyNumberFormat="1" applyFont="1" applyFill="1" applyBorder="1" applyAlignment="1">
      <alignment horizontal="right"/>
    </xf>
    <xf numFmtId="2" fontId="27" fillId="2" borderId="31" xfId="0" applyNumberFormat="1" applyFont="1" applyFill="1" applyBorder="1"/>
    <xf numFmtId="3" fontId="2" fillId="2" borderId="24" xfId="0" applyNumberFormat="1" applyFont="1" applyFill="1" applyBorder="1"/>
    <xf numFmtId="0" fontId="2" fillId="2" borderId="24" xfId="0" applyFont="1" applyFill="1" applyBorder="1"/>
    <xf numFmtId="2" fontId="2" fillId="2" borderId="30" xfId="0" applyNumberFormat="1" applyFont="1" applyFill="1" applyBorder="1"/>
    <xf numFmtId="3" fontId="27" fillId="2" borderId="2" xfId="0" applyNumberFormat="1" applyFont="1" applyFill="1" applyBorder="1"/>
    <xf numFmtId="168" fontId="27" fillId="2" borderId="2" xfId="0" applyNumberFormat="1" applyFont="1" applyFill="1" applyBorder="1"/>
    <xf numFmtId="172" fontId="27" fillId="2" borderId="23" xfId="0" applyNumberFormat="1" applyFont="1" applyFill="1" applyBorder="1" applyAlignment="1">
      <alignment horizontal="right"/>
    </xf>
    <xf numFmtId="3" fontId="27" fillId="2" borderId="24" xfId="0" applyNumberFormat="1" applyFont="1" applyFill="1" applyBorder="1" applyAlignment="1">
      <alignment horizontal="center"/>
    </xf>
    <xf numFmtId="172" fontId="27" fillId="2" borderId="23" xfId="0" applyNumberFormat="1" applyFont="1" applyFill="1" applyBorder="1" applyAlignment="1">
      <alignment horizontal="center"/>
    </xf>
    <xf numFmtId="3" fontId="27" fillId="2" borderId="2" xfId="0" applyNumberFormat="1" applyFont="1" applyFill="1" applyBorder="1" applyAlignment="1">
      <alignment horizontal="center"/>
    </xf>
    <xf numFmtId="2" fontId="27" fillId="2" borderId="23" xfId="0" quotePrefix="1" applyNumberFormat="1" applyFont="1" applyFill="1" applyBorder="1" applyAlignment="1">
      <alignment horizontal="center"/>
    </xf>
    <xf numFmtId="172" fontId="27" fillId="2" borderId="4" xfId="0" quotePrefix="1" applyNumberFormat="1" applyFont="1" applyFill="1" applyBorder="1" applyAlignment="1">
      <alignment horizontal="center"/>
    </xf>
    <xf numFmtId="2" fontId="27" fillId="2" borderId="30" xfId="0" quotePrefix="1" applyNumberFormat="1" applyFont="1" applyFill="1" applyBorder="1" applyAlignment="1">
      <alignment horizontal="center"/>
    </xf>
    <xf numFmtId="3" fontId="27" fillId="2" borderId="24" xfId="0" quotePrefix="1" applyNumberFormat="1" applyFont="1" applyFill="1" applyBorder="1" applyAlignment="1">
      <alignment horizontal="center"/>
    </xf>
    <xf numFmtId="173" fontId="27" fillId="2" borderId="24" xfId="0" quotePrefix="1" applyNumberFormat="1" applyFont="1" applyFill="1" applyBorder="1" applyAlignment="1">
      <alignment horizontal="right"/>
    </xf>
    <xf numFmtId="173" fontId="27" fillId="2" borderId="3" xfId="0" applyNumberFormat="1" applyFont="1" applyFill="1" applyBorder="1"/>
    <xf numFmtId="173" fontId="27" fillId="2" borderId="0" xfId="0" applyNumberFormat="1" applyFont="1" applyFill="1"/>
    <xf numFmtId="173" fontId="27" fillId="2" borderId="27" xfId="0" applyNumberFormat="1" applyFont="1" applyFill="1" applyBorder="1"/>
    <xf numFmtId="173" fontId="27" fillId="2" borderId="24" xfId="0" applyNumberFormat="1" applyFont="1" applyFill="1" applyBorder="1"/>
    <xf numFmtId="173" fontId="27" fillId="2" borderId="2" xfId="0" applyNumberFormat="1" applyFont="1" applyFill="1" applyBorder="1"/>
    <xf numFmtId="165" fontId="27" fillId="2" borderId="2" xfId="0" applyNumberFormat="1" applyFont="1" applyFill="1" applyBorder="1"/>
    <xf numFmtId="165" fontId="27" fillId="2" borderId="24" xfId="0" applyNumberFormat="1" applyFont="1" applyFill="1" applyBorder="1"/>
    <xf numFmtId="2" fontId="27" fillId="2" borderId="24" xfId="0" applyNumberFormat="1" applyFont="1" applyFill="1" applyBorder="1"/>
    <xf numFmtId="2" fontId="27" fillId="2" borderId="27" xfId="0" applyNumberFormat="1" applyFont="1" applyFill="1" applyBorder="1"/>
    <xf numFmtId="2" fontId="27" fillId="2" borderId="2" xfId="0" applyNumberFormat="1" applyFont="1" applyFill="1" applyBorder="1"/>
    <xf numFmtId="0" fontId="50" fillId="2" borderId="29" xfId="0" applyFont="1" applyFill="1" applyBorder="1"/>
    <xf numFmtId="2" fontId="27" fillId="2" borderId="23" xfId="0" quotePrefix="1" applyNumberFormat="1" applyFont="1" applyFill="1" applyBorder="1"/>
    <xf numFmtId="0" fontId="2" fillId="2" borderId="4" xfId="0" applyFont="1" applyFill="1" applyBorder="1" applyAlignment="1">
      <alignment horizontal="center"/>
    </xf>
    <xf numFmtId="0" fontId="2" fillId="2" borderId="33" xfId="0" applyFont="1" applyFill="1" applyBorder="1"/>
    <xf numFmtId="2" fontId="2" fillId="2" borderId="30" xfId="0" applyNumberFormat="1" applyFont="1" applyFill="1" applyBorder="1" applyAlignment="1">
      <alignment horizontal="center"/>
    </xf>
    <xf numFmtId="0" fontId="30" fillId="2" borderId="44" xfId="0" applyFont="1" applyFill="1" applyBorder="1" applyAlignment="1">
      <alignment horizontal="centerContinuous" vertical="center"/>
    </xf>
    <xf numFmtId="0" fontId="30" fillId="2" borderId="45" xfId="0" applyFont="1" applyFill="1" applyBorder="1" applyAlignment="1">
      <alignment horizontal="centerContinuous" vertical="center"/>
    </xf>
    <xf numFmtId="0" fontId="30" fillId="2" borderId="34" xfId="0" applyFont="1" applyFill="1" applyBorder="1" applyAlignment="1">
      <alignment horizontal="centerContinuous" vertical="center"/>
    </xf>
    <xf numFmtId="0" fontId="30" fillId="2" borderId="37" xfId="0" applyFont="1" applyFill="1" applyBorder="1" applyAlignment="1">
      <alignment horizontal="centerContinuous" vertical="center"/>
    </xf>
    <xf numFmtId="0" fontId="30" fillId="2" borderId="37" xfId="0" applyFont="1" applyFill="1" applyBorder="1" applyAlignment="1">
      <alignment vertical="center" wrapText="1"/>
    </xf>
    <xf numFmtId="0" fontId="30" fillId="2" borderId="44" xfId="0" applyFont="1" applyFill="1" applyBorder="1" applyAlignment="1">
      <alignment vertical="center" wrapText="1"/>
    </xf>
    <xf numFmtId="0" fontId="22" fillId="2" borderId="0" xfId="0" applyFont="1" applyFill="1"/>
    <xf numFmtId="0" fontId="22" fillId="2" borderId="0" xfId="0" applyFont="1" applyFill="1" applyAlignment="1">
      <alignment horizontal="center"/>
    </xf>
    <xf numFmtId="0" fontId="22" fillId="2" borderId="0" xfId="0" applyFont="1" applyFill="1" applyAlignment="1">
      <alignment horizontal="center" vertical="center" wrapText="1"/>
    </xf>
    <xf numFmtId="172" fontId="13" fillId="2" borderId="0" xfId="1" applyNumberFormat="1" applyFont="1" applyFill="1"/>
    <xf numFmtId="167" fontId="40" fillId="2" borderId="49" xfId="1" applyNumberFormat="1" applyFont="1" applyFill="1" applyBorder="1"/>
    <xf numFmtId="167" fontId="13" fillId="2" borderId="50" xfId="1" applyNumberFormat="1" applyFont="1" applyFill="1" applyBorder="1"/>
    <xf numFmtId="167" fontId="40" fillId="2" borderId="51" xfId="1" applyNumberFormat="1" applyFont="1" applyFill="1" applyBorder="1"/>
    <xf numFmtId="172" fontId="40" fillId="2" borderId="49" xfId="1" applyNumberFormat="1" applyFont="1" applyFill="1" applyBorder="1"/>
    <xf numFmtId="3" fontId="13" fillId="2" borderId="50" xfId="1" applyNumberFormat="1" applyFont="1" applyFill="1" applyBorder="1"/>
    <xf numFmtId="172" fontId="40" fillId="2" borderId="51" xfId="1" applyNumberFormat="1" applyFont="1" applyFill="1" applyBorder="1"/>
    <xf numFmtId="172" fontId="13" fillId="2" borderId="49" xfId="1" applyNumberFormat="1" applyFont="1" applyFill="1" applyBorder="1"/>
    <xf numFmtId="172" fontId="13" fillId="2" borderId="51" xfId="1" applyNumberFormat="1" applyFont="1" applyFill="1" applyBorder="1"/>
    <xf numFmtId="174" fontId="13" fillId="2" borderId="50" xfId="1" applyNumberFormat="1" applyFont="1" applyFill="1" applyBorder="1"/>
    <xf numFmtId="172" fontId="30" fillId="2" borderId="49" xfId="1" applyNumberFormat="1" applyFont="1" applyFill="1" applyBorder="1"/>
    <xf numFmtId="167" fontId="65" fillId="2" borderId="23" xfId="1" applyNumberFormat="1" applyFont="1" applyFill="1" applyBorder="1"/>
    <xf numFmtId="167" fontId="40" fillId="2" borderId="4" xfId="1" applyNumberFormat="1" applyFont="1" applyFill="1" applyBorder="1"/>
    <xf numFmtId="167" fontId="3" fillId="2" borderId="24" xfId="1" applyNumberFormat="1" applyFont="1" applyFill="1" applyBorder="1"/>
    <xf numFmtId="2" fontId="65" fillId="2" borderId="23" xfId="1" applyNumberFormat="1" applyFont="1" applyFill="1" applyBorder="1"/>
    <xf numFmtId="173" fontId="40" fillId="2" borderId="4" xfId="1" applyNumberFormat="1" applyFont="1" applyFill="1" applyBorder="1"/>
    <xf numFmtId="173" fontId="3" fillId="2" borderId="24" xfId="1" applyNumberFormat="1" applyFont="1" applyFill="1" applyBorder="1"/>
    <xf numFmtId="173" fontId="13" fillId="2" borderId="4" xfId="1" applyNumberFormat="1" applyFont="1" applyFill="1" applyBorder="1"/>
    <xf numFmtId="2" fontId="66" fillId="2" borderId="23" xfId="1" applyNumberFormat="1" applyFont="1" applyFill="1" applyBorder="1"/>
    <xf numFmtId="173" fontId="2" fillId="2" borderId="24" xfId="1" applyNumberFormat="1" applyFont="1" applyFill="1" applyBorder="1"/>
    <xf numFmtId="3" fontId="2" fillId="2" borderId="23" xfId="1" applyNumberFormat="1" applyFont="1" applyFill="1" applyBorder="1"/>
    <xf numFmtId="172" fontId="13" fillId="2" borderId="4" xfId="1" applyNumberFormat="1" applyFont="1" applyFill="1" applyBorder="1"/>
    <xf numFmtId="3" fontId="2" fillId="2" borderId="24" xfId="1" applyNumberFormat="1" applyFont="1" applyFill="1" applyBorder="1"/>
    <xf numFmtId="3" fontId="13" fillId="2" borderId="23" xfId="1" applyNumberFormat="1" applyFont="1" applyFill="1" applyBorder="1" applyAlignment="1">
      <alignment horizontal="center"/>
    </xf>
    <xf numFmtId="43" fontId="13" fillId="2" borderId="4" xfId="9" applyFont="1" applyFill="1" applyBorder="1"/>
    <xf numFmtId="43" fontId="65" fillId="2" borderId="23" xfId="9" applyFont="1" applyFill="1" applyBorder="1"/>
    <xf numFmtId="43" fontId="3" fillId="2" borderId="24" xfId="9" applyFont="1" applyFill="1" applyBorder="1"/>
    <xf numFmtId="167" fontId="13" fillId="2" borderId="4" xfId="1" applyNumberFormat="1" applyFont="1" applyFill="1" applyBorder="1"/>
    <xf numFmtId="168" fontId="13" fillId="2" borderId="4" xfId="1" applyNumberFormat="1" applyFont="1" applyFill="1" applyBorder="1"/>
    <xf numFmtId="168" fontId="3" fillId="2" borderId="24" xfId="1" applyNumberFormat="1" applyFont="1" applyFill="1" applyBorder="1"/>
    <xf numFmtId="168" fontId="65" fillId="2" borderId="23" xfId="1" applyNumberFormat="1" applyFont="1" applyFill="1" applyBorder="1"/>
    <xf numFmtId="167" fontId="3" fillId="2" borderId="4" xfId="1" applyNumberFormat="1" applyFont="1" applyFill="1" applyBorder="1"/>
    <xf numFmtId="43" fontId="3" fillId="2" borderId="4" xfId="9" applyFont="1" applyFill="1" applyBorder="1"/>
    <xf numFmtId="173" fontId="3" fillId="2" borderId="4" xfId="1" applyNumberFormat="1" applyFont="1" applyFill="1" applyBorder="1"/>
    <xf numFmtId="173" fontId="2" fillId="2" borderId="4" xfId="1" applyNumberFormat="1" applyFont="1" applyFill="1" applyBorder="1"/>
    <xf numFmtId="0" fontId="66" fillId="2" borderId="0" xfId="1" applyFont="1" applyFill="1"/>
    <xf numFmtId="167" fontId="66" fillId="2" borderId="23" xfId="1" applyNumberFormat="1" applyFont="1" applyFill="1" applyBorder="1"/>
    <xf numFmtId="167" fontId="66" fillId="2" borderId="4" xfId="1" applyNumberFormat="1" applyFont="1" applyFill="1" applyBorder="1"/>
    <xf numFmtId="167" fontId="66" fillId="2" borderId="24" xfId="1" applyNumberFormat="1" applyFont="1" applyFill="1" applyBorder="1"/>
    <xf numFmtId="43" fontId="66" fillId="2" borderId="23" xfId="9" applyFont="1" applyFill="1" applyBorder="1"/>
    <xf numFmtId="43" fontId="66" fillId="2" borderId="4" xfId="9" applyFont="1" applyFill="1" applyBorder="1"/>
    <xf numFmtId="43" fontId="66" fillId="2" borderId="24" xfId="9" applyFont="1" applyFill="1" applyBorder="1"/>
    <xf numFmtId="173" fontId="66" fillId="2" borderId="4" xfId="1" applyNumberFormat="1" applyFont="1" applyFill="1" applyBorder="1"/>
    <xf numFmtId="173" fontId="66" fillId="2" borderId="24" xfId="1" applyNumberFormat="1" applyFont="1" applyFill="1" applyBorder="1"/>
    <xf numFmtId="4" fontId="66" fillId="2" borderId="23" xfId="1" applyNumberFormat="1" applyFont="1" applyFill="1" applyBorder="1"/>
    <xf numFmtId="172" fontId="66" fillId="2" borderId="4" xfId="1" applyNumberFormat="1" applyFont="1" applyFill="1" applyBorder="1"/>
    <xf numFmtId="172" fontId="66" fillId="2" borderId="24" xfId="1" applyNumberFormat="1" applyFont="1" applyFill="1" applyBorder="1"/>
    <xf numFmtId="3" fontId="66" fillId="2" borderId="23" xfId="1" applyNumberFormat="1" applyFont="1" applyFill="1" applyBorder="1"/>
    <xf numFmtId="168" fontId="66" fillId="2" borderId="4" xfId="1" applyNumberFormat="1" applyFont="1" applyFill="1" applyBorder="1"/>
    <xf numFmtId="0" fontId="2" fillId="2" borderId="23" xfId="1" applyFont="1" applyFill="1" applyBorder="1"/>
    <xf numFmtId="0" fontId="2" fillId="2" borderId="24" xfId="1" applyFont="1" applyFill="1" applyBorder="1"/>
    <xf numFmtId="0" fontId="27" fillId="2" borderId="23" xfId="1" applyFont="1" applyFill="1" applyBorder="1"/>
    <xf numFmtId="0" fontId="22" fillId="2" borderId="23" xfId="1" applyFont="1" applyFill="1" applyBorder="1"/>
    <xf numFmtId="167" fontId="3" fillId="2" borderId="5" xfId="1" applyNumberFormat="1" applyFont="1" applyFill="1" applyBorder="1"/>
    <xf numFmtId="167" fontId="3" fillId="2" borderId="33" xfId="1" applyNumberFormat="1" applyFont="1" applyFill="1" applyBorder="1"/>
    <xf numFmtId="173" fontId="3" fillId="2" borderId="5" xfId="1" applyNumberFormat="1" applyFont="1" applyFill="1" applyBorder="1"/>
    <xf numFmtId="173" fontId="3" fillId="2" borderId="33" xfId="1" applyNumberFormat="1" applyFont="1" applyFill="1" applyBorder="1"/>
    <xf numFmtId="173" fontId="2" fillId="2" borderId="5" xfId="1" applyNumberFormat="1" applyFont="1" applyFill="1" applyBorder="1"/>
    <xf numFmtId="173" fontId="2" fillId="2" borderId="33" xfId="1" applyNumberFormat="1" applyFont="1" applyFill="1" applyBorder="1"/>
    <xf numFmtId="0" fontId="2" fillId="2" borderId="32" xfId="1" applyFont="1" applyFill="1" applyBorder="1"/>
    <xf numFmtId="0" fontId="2" fillId="2" borderId="33" xfId="1" applyFont="1" applyFill="1" applyBorder="1"/>
    <xf numFmtId="167" fontId="65" fillId="2" borderId="52" xfId="1" applyNumberFormat="1" applyFont="1" applyFill="1" applyBorder="1"/>
    <xf numFmtId="167" fontId="3" fillId="2" borderId="1" xfId="1" applyNumberFormat="1" applyFont="1" applyFill="1" applyBorder="1"/>
    <xf numFmtId="167" fontId="3" fillId="2" borderId="53" xfId="1" applyNumberFormat="1" applyFont="1" applyFill="1" applyBorder="1"/>
    <xf numFmtId="167" fontId="3" fillId="2" borderId="54" xfId="1" applyNumberFormat="1" applyFont="1" applyFill="1" applyBorder="1"/>
    <xf numFmtId="2" fontId="65" fillId="2" borderId="52" xfId="1" applyNumberFormat="1" applyFont="1" applyFill="1" applyBorder="1"/>
    <xf numFmtId="173" fontId="3" fillId="2" borderId="1" xfId="1" applyNumberFormat="1" applyFont="1" applyFill="1" applyBorder="1"/>
    <xf numFmtId="173" fontId="3" fillId="2" borderId="53" xfId="1" applyNumberFormat="1" applyFont="1" applyFill="1" applyBorder="1"/>
    <xf numFmtId="2" fontId="66" fillId="2" borderId="52" xfId="1" applyNumberFormat="1" applyFont="1" applyFill="1" applyBorder="1"/>
    <xf numFmtId="173" fontId="2" fillId="2" borderId="1" xfId="1" applyNumberFormat="1" applyFont="1" applyFill="1" applyBorder="1"/>
    <xf numFmtId="173" fontId="2" fillId="2" borderId="53" xfId="1" applyNumberFormat="1" applyFont="1" applyFill="1" applyBorder="1"/>
    <xf numFmtId="0" fontId="2" fillId="2" borderId="52" xfId="1" applyFont="1" applyFill="1" applyBorder="1"/>
    <xf numFmtId="0" fontId="2" fillId="2" borderId="53" xfId="1" applyFont="1" applyFill="1" applyBorder="1"/>
    <xf numFmtId="167" fontId="13" fillId="2" borderId="27" xfId="1" applyNumberFormat="1" applyFont="1" applyFill="1" applyBorder="1"/>
    <xf numFmtId="168" fontId="13" fillId="2" borderId="2" xfId="1" applyNumberFormat="1" applyFont="1" applyFill="1" applyBorder="1"/>
    <xf numFmtId="172" fontId="2" fillId="2" borderId="24" xfId="1" applyNumberFormat="1" applyFont="1" applyFill="1" applyBorder="1"/>
    <xf numFmtId="167" fontId="66" fillId="2" borderId="2" xfId="1" applyNumberFormat="1" applyFont="1" applyFill="1" applyBorder="1"/>
    <xf numFmtId="167" fontId="2" fillId="2" borderId="24" xfId="1" quotePrefix="1" applyNumberFormat="1" applyFont="1" applyFill="1" applyBorder="1" applyAlignment="1">
      <alignment horizontal="right"/>
    </xf>
    <xf numFmtId="167" fontId="2" fillId="2" borderId="4" xfId="1" quotePrefix="1" applyNumberFormat="1" applyFont="1" applyFill="1" applyBorder="1" applyAlignment="1">
      <alignment horizontal="right"/>
    </xf>
    <xf numFmtId="167" fontId="2" fillId="2" borderId="27" xfId="1" quotePrefix="1" applyNumberFormat="1" applyFont="1" applyFill="1" applyBorder="1" applyAlignment="1">
      <alignment horizontal="right"/>
    </xf>
    <xf numFmtId="173" fontId="2" fillId="2" borderId="24" xfId="1" quotePrefix="1" applyNumberFormat="1" applyFont="1" applyFill="1" applyBorder="1" applyAlignment="1">
      <alignment horizontal="right"/>
    </xf>
    <xf numFmtId="168" fontId="2" fillId="2" borderId="4" xfId="1" applyNumberFormat="1" applyFont="1" applyFill="1" applyBorder="1"/>
    <xf numFmtId="168" fontId="2" fillId="2" borderId="24" xfId="1" applyNumberFormat="1" applyFont="1" applyFill="1" applyBorder="1"/>
    <xf numFmtId="173" fontId="2" fillId="2" borderId="24" xfId="1" quotePrefix="1" applyNumberFormat="1" applyFont="1" applyFill="1" applyBorder="1" applyAlignment="1">
      <alignment horizontal="center"/>
    </xf>
    <xf numFmtId="172" fontId="2" fillId="2" borderId="24" xfId="1" quotePrefix="1" applyNumberFormat="1" applyFont="1" applyFill="1" applyBorder="1" applyAlignment="1">
      <alignment horizontal="center"/>
    </xf>
    <xf numFmtId="167" fontId="3" fillId="2" borderId="0" xfId="1" applyNumberFormat="1" applyFont="1" applyFill="1"/>
    <xf numFmtId="173" fontId="3" fillId="2" borderId="0" xfId="1" applyNumberFormat="1" applyFont="1" applyFill="1"/>
    <xf numFmtId="173" fontId="2" fillId="2" borderId="0" xfId="1" applyNumberFormat="1" applyFont="1" applyFill="1"/>
    <xf numFmtId="167" fontId="65" fillId="2" borderId="0" xfId="1" applyNumberFormat="1" applyFont="1" applyFill="1"/>
    <xf numFmtId="167" fontId="65" fillId="2" borderId="4" xfId="1" applyNumberFormat="1" applyFont="1" applyFill="1" applyBorder="1"/>
    <xf numFmtId="173" fontId="65" fillId="2" borderId="0" xfId="1" applyNumberFormat="1" applyFont="1" applyFill="1"/>
    <xf numFmtId="168" fontId="66" fillId="2" borderId="24" xfId="1" applyNumberFormat="1" applyFont="1" applyFill="1" applyBorder="1"/>
    <xf numFmtId="0" fontId="66" fillId="2" borderId="4" xfId="1" applyFont="1" applyFill="1" applyBorder="1"/>
    <xf numFmtId="0" fontId="66" fillId="2" borderId="24" xfId="1" applyFont="1" applyFill="1" applyBorder="1"/>
    <xf numFmtId="173" fontId="66" fillId="2" borderId="0" xfId="1" applyNumberFormat="1" applyFont="1" applyFill="1"/>
    <xf numFmtId="167" fontId="66" fillId="2" borderId="27" xfId="1" applyNumberFormat="1" applyFont="1" applyFill="1" applyBorder="1"/>
    <xf numFmtId="43" fontId="66" fillId="2" borderId="2" xfId="9" applyFont="1" applyFill="1" applyBorder="1"/>
    <xf numFmtId="175" fontId="66" fillId="2" borderId="24" xfId="1" applyNumberFormat="1" applyFont="1" applyFill="1" applyBorder="1"/>
    <xf numFmtId="173" fontId="66" fillId="2" borderId="2" xfId="1" applyNumberFormat="1" applyFont="1" applyFill="1" applyBorder="1"/>
    <xf numFmtId="168" fontId="66" fillId="2" borderId="2" xfId="1" applyNumberFormat="1" applyFont="1" applyFill="1" applyBorder="1"/>
    <xf numFmtId="172" fontId="66" fillId="2" borderId="2" xfId="1" applyNumberFormat="1" applyFont="1" applyFill="1" applyBorder="1"/>
    <xf numFmtId="175" fontId="66" fillId="2" borderId="23" xfId="1" applyNumberFormat="1" applyFont="1" applyFill="1" applyBorder="1"/>
    <xf numFmtId="0" fontId="65" fillId="2" borderId="23" xfId="1" applyFont="1" applyFill="1" applyBorder="1" applyAlignment="1">
      <alignment horizontal="center"/>
    </xf>
    <xf numFmtId="0" fontId="65" fillId="2" borderId="4" xfId="1" applyFont="1" applyFill="1" applyBorder="1"/>
    <xf numFmtId="0" fontId="65" fillId="2" borderId="24" xfId="1" applyFont="1" applyFill="1" applyBorder="1" applyAlignment="1">
      <alignment horizontal="center"/>
    </xf>
    <xf numFmtId="0" fontId="65" fillId="2" borderId="0" xfId="1" applyFont="1" applyFill="1"/>
    <xf numFmtId="0" fontId="65" fillId="2" borderId="27" xfId="1" applyFont="1" applyFill="1" applyBorder="1" applyAlignment="1">
      <alignment horizontal="center"/>
    </xf>
    <xf numFmtId="0" fontId="66" fillId="2" borderId="23" xfId="1" applyFont="1" applyFill="1" applyBorder="1" applyAlignment="1">
      <alignment horizontal="center"/>
    </xf>
    <xf numFmtId="0" fontId="66" fillId="2" borderId="24" xfId="1" applyFont="1" applyFill="1" applyBorder="1" applyAlignment="1">
      <alignment horizontal="center"/>
    </xf>
    <xf numFmtId="0" fontId="67" fillId="2" borderId="23" xfId="1" applyFont="1" applyFill="1" applyBorder="1"/>
    <xf numFmtId="0" fontId="30" fillId="2" borderId="55" xfId="1" applyFont="1" applyFill="1" applyBorder="1" applyAlignment="1">
      <alignment horizontal="center"/>
    </xf>
    <xf numFmtId="0" fontId="13" fillId="2" borderId="35" xfId="1" applyFont="1" applyFill="1" applyBorder="1" applyAlignment="1">
      <alignment horizontal="center"/>
    </xf>
    <xf numFmtId="0" fontId="13" fillId="2" borderId="36" xfId="1" applyFont="1" applyFill="1" applyBorder="1" applyAlignment="1">
      <alignment horizontal="center"/>
    </xf>
    <xf numFmtId="0" fontId="13" fillId="2" borderId="56" xfId="1" applyFont="1" applyFill="1" applyBorder="1" applyAlignment="1">
      <alignment horizontal="center"/>
    </xf>
    <xf numFmtId="0" fontId="30" fillId="2" borderId="7" xfId="1" applyFont="1" applyFill="1" applyBorder="1" applyAlignment="1">
      <alignment horizontal="center"/>
    </xf>
    <xf numFmtId="0" fontId="13" fillId="2" borderId="7" xfId="1" applyFont="1" applyFill="1" applyBorder="1" applyAlignment="1">
      <alignment horizontal="center"/>
    </xf>
    <xf numFmtId="0" fontId="13" fillId="2" borderId="57" xfId="1" applyFont="1" applyFill="1" applyBorder="1" applyAlignment="1">
      <alignment horizontal="center"/>
    </xf>
    <xf numFmtId="0" fontId="30" fillId="2" borderId="58" xfId="1" applyFont="1" applyFill="1" applyBorder="1" applyAlignment="1">
      <alignment horizontal="center"/>
    </xf>
    <xf numFmtId="0" fontId="2" fillId="2" borderId="3" xfId="1" applyFont="1" applyFill="1" applyBorder="1"/>
    <xf numFmtId="0" fontId="13" fillId="2" borderId="25" xfId="1" applyFont="1" applyFill="1" applyBorder="1" applyAlignment="1">
      <alignment horizontal="centerContinuous"/>
    </xf>
    <xf numFmtId="0" fontId="13" fillId="2" borderId="26" xfId="1" applyFont="1" applyFill="1" applyBorder="1" applyAlignment="1">
      <alignment horizontal="centerContinuous"/>
    </xf>
    <xf numFmtId="0" fontId="13" fillId="2" borderId="62" xfId="1" applyFont="1" applyFill="1" applyBorder="1" applyAlignment="1">
      <alignment horizontal="centerContinuous"/>
    </xf>
    <xf numFmtId="0" fontId="13" fillId="2" borderId="23" xfId="1" applyFont="1" applyFill="1" applyBorder="1" applyAlignment="1">
      <alignment horizontal="centerContinuous"/>
    </xf>
    <xf numFmtId="0" fontId="13" fillId="2" borderId="4" xfId="1" applyFont="1" applyFill="1" applyBorder="1" applyAlignment="1">
      <alignment horizontal="centerContinuous"/>
    </xf>
    <xf numFmtId="0" fontId="13" fillId="2" borderId="24" xfId="1" applyFont="1" applyFill="1" applyBorder="1" applyAlignment="1">
      <alignment horizontal="centerContinuous"/>
    </xf>
    <xf numFmtId="0" fontId="51" fillId="2" borderId="0" xfId="0" applyFont="1" applyFill="1"/>
    <xf numFmtId="166" fontId="27" fillId="2" borderId="0" xfId="0" applyNumberFormat="1" applyFont="1" applyFill="1"/>
    <xf numFmtId="166" fontId="51" fillId="2" borderId="1" xfId="0" applyNumberFormat="1" applyFont="1" applyFill="1" applyBorder="1"/>
    <xf numFmtId="166" fontId="27" fillId="2" borderId="15" xfId="0" applyNumberFormat="1" applyFont="1" applyFill="1" applyBorder="1"/>
    <xf numFmtId="166" fontId="27" fillId="2" borderId="1" xfId="0" applyNumberFormat="1" applyFont="1" applyFill="1" applyBorder="1"/>
    <xf numFmtId="166" fontId="51" fillId="2" borderId="15" xfId="0" applyNumberFormat="1" applyFont="1" applyFill="1" applyBorder="1"/>
    <xf numFmtId="166" fontId="27" fillId="2" borderId="9" xfId="0" applyNumberFormat="1" applyFont="1" applyFill="1" applyBorder="1"/>
    <xf numFmtId="0" fontId="50" fillId="2" borderId="0" xfId="0" applyFont="1" applyFill="1"/>
    <xf numFmtId="166" fontId="50" fillId="2" borderId="4" xfId="19" applyNumberFormat="1" applyFont="1" applyFill="1" applyBorder="1"/>
    <xf numFmtId="166" fontId="50" fillId="2" borderId="0" xfId="19" applyNumberFormat="1" applyFont="1" applyFill="1" applyBorder="1"/>
    <xf numFmtId="166" fontId="50" fillId="2" borderId="3" xfId="19" applyNumberFormat="1" applyFont="1" applyFill="1" applyBorder="1"/>
    <xf numFmtId="166" fontId="50" fillId="2" borderId="4" xfId="0" applyNumberFormat="1" applyFont="1" applyFill="1" applyBorder="1"/>
    <xf numFmtId="0" fontId="50" fillId="2" borderId="4" xfId="0" applyFont="1" applyFill="1" applyBorder="1" applyAlignment="1">
      <alignment horizontal="left" indent="2"/>
    </xf>
    <xf numFmtId="166" fontId="30" fillId="2" borderId="4" xfId="19" applyNumberFormat="1" applyFont="1" applyFill="1" applyBorder="1"/>
    <xf numFmtId="166" fontId="30" fillId="2" borderId="0" xfId="19" applyNumberFormat="1" applyFont="1" applyFill="1" applyBorder="1"/>
    <xf numFmtId="166" fontId="30" fillId="2" borderId="3" xfId="19" applyNumberFormat="1" applyFont="1" applyFill="1" applyBorder="1"/>
    <xf numFmtId="0" fontId="30" fillId="2" borderId="4" xfId="0" applyFont="1" applyFill="1" applyBorder="1" applyAlignment="1">
      <alignment horizontal="left" indent="4"/>
    </xf>
    <xf numFmtId="166" fontId="50" fillId="2" borderId="4" xfId="19" quotePrefix="1" applyNumberFormat="1" applyFont="1" applyFill="1" applyBorder="1" applyAlignment="1">
      <alignment horizontal="right"/>
    </xf>
    <xf numFmtId="166" fontId="50" fillId="2" borderId="0" xfId="19" quotePrefix="1" applyNumberFormat="1" applyFont="1" applyFill="1" applyBorder="1" applyAlignment="1">
      <alignment horizontal="right"/>
    </xf>
    <xf numFmtId="166" fontId="50" fillId="2" borderId="4" xfId="0" quotePrefix="1" applyNumberFormat="1" applyFont="1" applyFill="1" applyBorder="1" applyAlignment="1">
      <alignment horizontal="right"/>
    </xf>
    <xf numFmtId="166" fontId="50" fillId="2" borderId="3" xfId="19" quotePrefix="1" applyNumberFormat="1" applyFont="1" applyFill="1" applyBorder="1" applyAlignment="1">
      <alignment horizontal="right"/>
    </xf>
    <xf numFmtId="166" fontId="30" fillId="2" borderId="4" xfId="0" applyNumberFormat="1" applyFont="1" applyFill="1" applyBorder="1"/>
    <xf numFmtId="166" fontId="30" fillId="2" borderId="0" xfId="0" applyNumberFormat="1" applyFont="1" applyFill="1"/>
    <xf numFmtId="0" fontId="30" fillId="2" borderId="4" xfId="0" applyFont="1" applyFill="1" applyBorder="1"/>
    <xf numFmtId="166" fontId="27" fillId="2" borderId="4" xfId="19" applyNumberFormat="1" applyFont="1" applyFill="1" applyBorder="1"/>
    <xf numFmtId="166" fontId="27" fillId="2" borderId="3" xfId="19" applyNumberFormat="1" applyFont="1" applyFill="1" applyBorder="1"/>
    <xf numFmtId="166" fontId="27" fillId="2" borderId="4" xfId="0" applyNumberFormat="1" applyFont="1" applyFill="1" applyBorder="1"/>
    <xf numFmtId="166" fontId="27" fillId="2" borderId="4" xfId="19" applyNumberFormat="1" applyFont="1" applyFill="1" applyBorder="1" applyAlignment="1">
      <alignment vertical="center"/>
    </xf>
    <xf numFmtId="166" fontId="27" fillId="2" borderId="0" xfId="19" applyNumberFormat="1" applyFont="1" applyFill="1" applyBorder="1" applyAlignment="1">
      <alignment vertical="center"/>
    </xf>
    <xf numFmtId="0" fontId="27" fillId="2" borderId="4" xfId="0" applyFont="1" applyFill="1" applyBorder="1" applyAlignment="1">
      <alignment horizontal="left" indent="4"/>
    </xf>
    <xf numFmtId="166" fontId="50" fillId="2" borderId="4" xfId="19" applyNumberFormat="1" applyFont="1" applyFill="1" applyBorder="1" applyAlignment="1">
      <alignment vertical="center"/>
    </xf>
    <xf numFmtId="166" fontId="50" fillId="2" borderId="0" xfId="19" applyNumberFormat="1" applyFont="1" applyFill="1" applyBorder="1" applyAlignment="1">
      <alignment vertical="center"/>
    </xf>
    <xf numFmtId="0" fontId="9" fillId="2" borderId="4" xfId="0" applyFont="1" applyFill="1" applyBorder="1" applyAlignment="1">
      <alignment horizontal="left" indent="6"/>
    </xf>
    <xf numFmtId="166" fontId="30" fillId="2" borderId="5" xfId="19" applyNumberFormat="1" applyFont="1" applyFill="1" applyBorder="1"/>
    <xf numFmtId="0" fontId="30" fillId="2" borderId="4" xfId="0" applyFont="1" applyFill="1" applyBorder="1" applyAlignment="1">
      <alignment vertical="top"/>
    </xf>
    <xf numFmtId="0" fontId="13" fillId="2" borderId="1" xfId="0" applyFont="1" applyFill="1" applyBorder="1" applyAlignment="1">
      <alignment horizontal="center"/>
    </xf>
    <xf numFmtId="0" fontId="30" fillId="2" borderId="1" xfId="0" applyFont="1" applyFill="1" applyBorder="1" applyAlignment="1">
      <alignment horizontal="center"/>
    </xf>
    <xf numFmtId="0" fontId="27" fillId="2" borderId="0" xfId="0" applyFont="1" applyFill="1" applyAlignment="1">
      <alignment horizontal="center"/>
    </xf>
    <xf numFmtId="17" fontId="30" fillId="2" borderId="5" xfId="0" quotePrefix="1" applyNumberFormat="1" applyFont="1" applyFill="1" applyBorder="1" applyAlignment="1">
      <alignment horizontal="center"/>
    </xf>
    <xf numFmtId="17" fontId="30" fillId="2" borderId="5" xfId="0" applyNumberFormat="1" applyFont="1" applyFill="1" applyBorder="1" applyAlignment="1">
      <alignment horizontal="center"/>
    </xf>
    <xf numFmtId="0" fontId="55" fillId="2" borderId="0" xfId="0" applyFont="1" applyFill="1"/>
    <xf numFmtId="0" fontId="27" fillId="2" borderId="0" xfId="0" applyFont="1" applyFill="1" applyAlignment="1">
      <alignment horizontal="left" vertical="center" wrapText="1"/>
    </xf>
    <xf numFmtId="0" fontId="27" fillId="2" borderId="0" xfId="0" applyFont="1" applyFill="1" applyAlignment="1">
      <alignment horizontal="center" vertical="center" wrapText="1"/>
    </xf>
    <xf numFmtId="0" fontId="22" fillId="2" borderId="0" xfId="0" applyFont="1" applyFill="1" applyAlignment="1">
      <alignment horizontal="center" vertical="center" wrapText="1"/>
    </xf>
    <xf numFmtId="0" fontId="30" fillId="2" borderId="0" xfId="0" applyFont="1" applyFill="1"/>
    <xf numFmtId="0" fontId="27" fillId="2" borderId="52" xfId="0" applyFont="1" applyFill="1" applyBorder="1"/>
    <xf numFmtId="0" fontId="27" fillId="2" borderId="53" xfId="0" applyFont="1" applyFill="1" applyBorder="1"/>
    <xf numFmtId="0" fontId="27" fillId="2" borderId="68" xfId="0" applyFont="1" applyFill="1" applyBorder="1"/>
    <xf numFmtId="0" fontId="27" fillId="2" borderId="69" xfId="0" applyFont="1" applyFill="1" applyBorder="1"/>
    <xf numFmtId="0" fontId="27" fillId="2" borderId="70" xfId="0" applyFont="1" applyFill="1" applyBorder="1"/>
    <xf numFmtId="0" fontId="27" fillId="2" borderId="9" xfId="0" applyFont="1" applyFill="1" applyBorder="1"/>
    <xf numFmtId="173" fontId="30" fillId="2" borderId="23" xfId="0" applyNumberFormat="1" applyFont="1" applyFill="1" applyBorder="1"/>
    <xf numFmtId="173" fontId="30" fillId="2" borderId="3" xfId="0" applyNumberFormat="1" applyFont="1" applyFill="1" applyBorder="1"/>
    <xf numFmtId="173" fontId="30" fillId="2" borderId="4" xfId="0" applyNumberFormat="1" applyFont="1" applyFill="1" applyBorder="1"/>
    <xf numFmtId="173" fontId="30" fillId="2" borderId="24" xfId="8" applyNumberFormat="1" applyFont="1" applyFill="1" applyBorder="1"/>
    <xf numFmtId="168" fontId="30" fillId="2" borderId="24" xfId="8" applyNumberFormat="1" applyFont="1" applyFill="1" applyBorder="1"/>
    <xf numFmtId="169" fontId="30" fillId="2" borderId="24" xfId="8" applyNumberFormat="1" applyFont="1" applyFill="1" applyBorder="1"/>
    <xf numFmtId="173" fontId="30" fillId="2" borderId="24" xfId="0" applyNumberFormat="1" applyFont="1" applyFill="1" applyBorder="1"/>
    <xf numFmtId="0" fontId="30" fillId="2" borderId="23" xfId="0" applyFont="1" applyFill="1" applyBorder="1"/>
    <xf numFmtId="0" fontId="27" fillId="2" borderId="23" xfId="0" applyFont="1" applyFill="1" applyBorder="1"/>
    <xf numFmtId="173" fontId="27" fillId="2" borderId="4" xfId="0" applyNumberFormat="1" applyFont="1" applyFill="1" applyBorder="1"/>
    <xf numFmtId="0" fontId="27" fillId="2" borderId="3" xfId="0" applyFont="1" applyFill="1" applyBorder="1" applyAlignment="1">
      <alignment horizontal="center" wrapText="1"/>
    </xf>
    <xf numFmtId="3" fontId="30" fillId="2" borderId="23" xfId="20" applyNumberFormat="1" applyFont="1" applyFill="1" applyBorder="1"/>
    <xf numFmtId="3" fontId="30" fillId="2" borderId="4" xfId="20" applyNumberFormat="1" applyFont="1" applyFill="1" applyBorder="1"/>
    <xf numFmtId="0" fontId="27" fillId="2" borderId="24" xfId="0" applyFont="1" applyFill="1" applyBorder="1"/>
    <xf numFmtId="3" fontId="30" fillId="2" borderId="24" xfId="20" applyNumberFormat="1" applyFont="1" applyFill="1" applyBorder="1"/>
    <xf numFmtId="3" fontId="30" fillId="0" borderId="24" xfId="0" applyNumberFormat="1" applyFont="1" applyBorder="1"/>
    <xf numFmtId="3" fontId="30" fillId="2" borderId="23" xfId="0" applyNumberFormat="1" applyFont="1" applyFill="1" applyBorder="1"/>
    <xf numFmtId="3" fontId="30" fillId="2" borderId="71" xfId="20" applyNumberFormat="1" applyFont="1" applyFill="1" applyBorder="1"/>
    <xf numFmtId="3" fontId="30" fillId="2" borderId="3" xfId="0" applyNumberFormat="1" applyFont="1" applyFill="1" applyBorder="1"/>
    <xf numFmtId="3" fontId="27" fillId="2" borderId="4" xfId="20" applyNumberFormat="1" applyFont="1" applyFill="1" applyBorder="1"/>
    <xf numFmtId="3" fontId="27" fillId="0" borderId="4" xfId="20" applyNumberFormat="1" applyFont="1" applyFill="1" applyBorder="1"/>
    <xf numFmtId="3" fontId="27" fillId="0" borderId="24" xfId="0" applyNumberFormat="1" applyFont="1" applyBorder="1"/>
    <xf numFmtId="3" fontId="30" fillId="2" borderId="23" xfId="8" applyNumberFormat="1" applyFont="1" applyFill="1" applyBorder="1"/>
    <xf numFmtId="3" fontId="27" fillId="2" borderId="24" xfId="8" applyNumberFormat="1" applyFont="1" applyFill="1" applyBorder="1"/>
    <xf numFmtId="0" fontId="27" fillId="2" borderId="23" xfId="0" applyFont="1" applyFill="1" applyBorder="1" applyAlignment="1">
      <alignment horizontal="center" wrapText="1"/>
    </xf>
    <xf numFmtId="176" fontId="27" fillId="2" borderId="4" xfId="20" applyFont="1" applyFill="1" applyBorder="1"/>
    <xf numFmtId="0" fontId="30" fillId="2" borderId="3" xfId="0" applyFont="1" applyFill="1" applyBorder="1" applyAlignment="1">
      <alignment horizontal="center" wrapText="1"/>
    </xf>
    <xf numFmtId="168" fontId="27" fillId="2" borderId="24" xfId="8" applyNumberFormat="1" applyFont="1" applyFill="1" applyBorder="1"/>
    <xf numFmtId="0" fontId="27" fillId="2" borderId="3" xfId="0" applyFont="1" applyFill="1" applyBorder="1"/>
    <xf numFmtId="3" fontId="27" fillId="2" borderId="4" xfId="19" applyNumberFormat="1" applyFont="1" applyFill="1" applyBorder="1"/>
    <xf numFmtId="3" fontId="27" fillId="2" borderId="24" xfId="19" applyNumberFormat="1" applyFont="1" applyFill="1" applyBorder="1"/>
    <xf numFmtId="3" fontId="27" fillId="0" borderId="4" xfId="19" applyNumberFormat="1" applyFont="1" applyFill="1" applyBorder="1"/>
    <xf numFmtId="3" fontId="27" fillId="0" borderId="24" xfId="19" applyNumberFormat="1" applyFont="1" applyFill="1" applyBorder="1"/>
    <xf numFmtId="3" fontId="30" fillId="0" borderId="23" xfId="8" applyNumberFormat="1" applyFont="1" applyFill="1" applyBorder="1"/>
    <xf numFmtId="0" fontId="27" fillId="2" borderId="32" xfId="0" applyFont="1" applyFill="1" applyBorder="1"/>
    <xf numFmtId="0" fontId="27" fillId="2" borderId="5" xfId="0" applyFont="1" applyFill="1" applyBorder="1"/>
    <xf numFmtId="0" fontId="27" fillId="2" borderId="33" xfId="0" applyFont="1" applyFill="1" applyBorder="1"/>
    <xf numFmtId="0" fontId="30" fillId="2" borderId="58" xfId="0" applyFont="1" applyFill="1" applyBorder="1" applyAlignment="1">
      <alignment horizontal="center"/>
    </xf>
    <xf numFmtId="0" fontId="30" fillId="2" borderId="7" xfId="0" applyFont="1" applyFill="1" applyBorder="1" applyAlignment="1">
      <alignment horizontal="center"/>
    </xf>
    <xf numFmtId="0" fontId="30" fillId="2" borderId="57" xfId="0" applyFont="1" applyFill="1" applyBorder="1" applyAlignment="1">
      <alignment horizontal="center"/>
    </xf>
    <xf numFmtId="0" fontId="27" fillId="2" borderId="6" xfId="0" applyFont="1" applyFill="1" applyBorder="1"/>
    <xf numFmtId="0" fontId="69" fillId="2" borderId="0" xfId="0" applyFont="1" applyFill="1"/>
    <xf numFmtId="3" fontId="69" fillId="2" borderId="0" xfId="0" applyNumberFormat="1" applyFont="1" applyFill="1"/>
    <xf numFmtId="3" fontId="2" fillId="2" borderId="0" xfId="0" applyNumberFormat="1" applyFont="1" applyFill="1"/>
    <xf numFmtId="3" fontId="2" fillId="2" borderId="0" xfId="0" applyNumberFormat="1" applyFont="1" applyFill="1" applyAlignment="1">
      <alignment horizontal="right"/>
    </xf>
    <xf numFmtId="0" fontId="2" fillId="2" borderId="0" xfId="0" applyFont="1" applyFill="1" applyAlignment="1">
      <alignment horizontal="right"/>
    </xf>
    <xf numFmtId="0" fontId="69" fillId="2" borderId="1" xfId="0" applyFont="1" applyFill="1" applyBorder="1"/>
    <xf numFmtId="0" fontId="2" fillId="2" borderId="1" xfId="0" applyFont="1" applyFill="1" applyBorder="1" applyAlignment="1">
      <alignment horizontal="right"/>
    </xf>
    <xf numFmtId="3" fontId="2" fillId="2" borderId="4" xfId="0" applyNumberFormat="1" applyFont="1" applyFill="1" applyBorder="1" applyAlignment="1">
      <alignment horizontal="right"/>
    </xf>
    <xf numFmtId="0" fontId="2" fillId="2" borderId="4" xfId="0" applyFont="1" applyFill="1" applyBorder="1" applyAlignment="1">
      <alignment horizontal="left" vertical="center" indent="2"/>
    </xf>
    <xf numFmtId="165" fontId="2" fillId="2" borderId="4" xfId="8" applyFont="1" applyFill="1" applyBorder="1" applyAlignment="1">
      <alignment horizontal="right"/>
    </xf>
    <xf numFmtId="3" fontId="10" fillId="2" borderId="4" xfId="0" applyNumberFormat="1" applyFont="1" applyFill="1" applyBorder="1" applyAlignment="1">
      <alignment horizontal="right"/>
    </xf>
    <xf numFmtId="0" fontId="67" fillId="2" borderId="4" xfId="0" applyFont="1" applyFill="1" applyBorder="1" applyAlignment="1">
      <alignment horizontal="left" vertical="center"/>
    </xf>
    <xf numFmtId="0" fontId="10" fillId="2" borderId="4" xfId="0" applyFont="1" applyFill="1" applyBorder="1" applyAlignment="1">
      <alignment horizontal="left" vertical="center" indent="1"/>
    </xf>
    <xf numFmtId="0" fontId="69" fillId="2" borderId="4" xfId="0" applyFont="1" applyFill="1" applyBorder="1"/>
    <xf numFmtId="3" fontId="13" fillId="2" borderId="4" xfId="0" applyNumberFormat="1" applyFont="1" applyFill="1" applyBorder="1" applyAlignment="1">
      <alignment horizontal="right"/>
    </xf>
    <xf numFmtId="0" fontId="2" fillId="2" borderId="4" xfId="0" applyFont="1" applyFill="1" applyBorder="1" applyAlignment="1">
      <alignment horizontal="right"/>
    </xf>
    <xf numFmtId="0" fontId="10" fillId="2" borderId="4" xfId="0" applyFont="1" applyFill="1" applyBorder="1" applyAlignment="1">
      <alignment horizontal="left" vertical="center"/>
    </xf>
    <xf numFmtId="0" fontId="70" fillId="2" borderId="4" xfId="0" applyFont="1" applyFill="1" applyBorder="1" applyAlignment="1">
      <alignment horizontal="left" vertical="center"/>
    </xf>
    <xf numFmtId="0" fontId="13" fillId="2" borderId="4" xfId="0" applyFont="1" applyFill="1" applyBorder="1" applyAlignment="1">
      <alignment horizontal="left" vertical="center"/>
    </xf>
    <xf numFmtId="3" fontId="10" fillId="2" borderId="4" xfId="0" applyNumberFormat="1" applyFont="1" applyFill="1" applyBorder="1" applyAlignment="1">
      <alignment horizontal="right" vertical="center"/>
    </xf>
    <xf numFmtId="17" fontId="13" fillId="2" borderId="4" xfId="0" applyNumberFormat="1" applyFont="1" applyFill="1" applyBorder="1" applyAlignment="1">
      <alignment horizontal="center" vertical="center"/>
    </xf>
    <xf numFmtId="3" fontId="69" fillId="2" borderId="0" xfId="0" applyNumberFormat="1" applyFont="1" applyFill="1" applyAlignment="1">
      <alignment horizontal="right"/>
    </xf>
    <xf numFmtId="3" fontId="13" fillId="2" borderId="4" xfId="8" applyNumberFormat="1" applyFont="1" applyFill="1" applyBorder="1" applyAlignment="1">
      <alignment horizontal="right" vertical="center"/>
    </xf>
    <xf numFmtId="3" fontId="67" fillId="2" borderId="4" xfId="0" applyNumberFormat="1" applyFont="1" applyFill="1" applyBorder="1" applyAlignment="1">
      <alignment horizontal="left" vertical="center"/>
    </xf>
    <xf numFmtId="17" fontId="13" fillId="2" borderId="7" xfId="0" applyNumberFormat="1" applyFont="1" applyFill="1" applyBorder="1" applyAlignment="1">
      <alignment horizontal="center" vertical="center" wrapText="1"/>
    </xf>
    <xf numFmtId="0" fontId="13" fillId="2" borderId="7" xfId="0" applyFont="1" applyFill="1" applyBorder="1" applyAlignment="1">
      <alignment horizontal="center" vertical="center"/>
    </xf>
    <xf numFmtId="0" fontId="9" fillId="2" borderId="0" xfId="0" applyFont="1" applyFill="1"/>
    <xf numFmtId="0" fontId="2" fillId="2" borderId="0" xfId="21" applyFont="1" applyFill="1"/>
    <xf numFmtId="0" fontId="14" fillId="2" borderId="0" xfId="21" applyFont="1" applyFill="1"/>
    <xf numFmtId="0" fontId="72" fillId="2" borderId="0" xfId="21" applyFont="1" applyFill="1"/>
    <xf numFmtId="0" fontId="59" fillId="2" borderId="0" xfId="21" applyFont="1" applyFill="1"/>
    <xf numFmtId="0" fontId="59" fillId="2" borderId="0" xfId="21" applyFont="1" applyFill="1" applyAlignment="1">
      <alignment horizontal="left" vertical="center"/>
    </xf>
    <xf numFmtId="0" fontId="69" fillId="2" borderId="0" xfId="21" applyFont="1" applyFill="1"/>
    <xf numFmtId="3" fontId="69" fillId="2" borderId="0" xfId="21" applyNumberFormat="1" applyFont="1" applyFill="1"/>
    <xf numFmtId="0" fontId="72" fillId="2" borderId="0" xfId="21" applyFont="1" applyFill="1" applyAlignment="1">
      <alignment horizontal="right"/>
    </xf>
    <xf numFmtId="0" fontId="2" fillId="2" borderId="11" xfId="21" applyFont="1" applyFill="1" applyBorder="1"/>
    <xf numFmtId="0" fontId="14" fillId="2" borderId="8" xfId="21" applyFont="1" applyFill="1" applyBorder="1"/>
    <xf numFmtId="0" fontId="2" fillId="2" borderId="8" xfId="21" applyFont="1" applyFill="1" applyBorder="1"/>
    <xf numFmtId="0" fontId="2" fillId="2" borderId="1" xfId="21" applyFont="1" applyFill="1" applyBorder="1"/>
    <xf numFmtId="0" fontId="2" fillId="2" borderId="74" xfId="21" applyFont="1" applyFill="1" applyBorder="1"/>
    <xf numFmtId="0" fontId="2" fillId="2" borderId="75" xfId="21" applyFont="1" applyFill="1" applyBorder="1"/>
    <xf numFmtId="0" fontId="72" fillId="2" borderId="75" xfId="21" applyFont="1" applyFill="1" applyBorder="1" applyAlignment="1">
      <alignment horizontal="right"/>
    </xf>
    <xf numFmtId="0" fontId="2" fillId="2" borderId="76" xfId="21" applyFont="1" applyFill="1" applyBorder="1"/>
    <xf numFmtId="3" fontId="15" fillId="2" borderId="2" xfId="21" applyNumberFormat="1" applyFont="1" applyFill="1" applyBorder="1" applyAlignment="1">
      <alignment horizontal="right"/>
    </xf>
    <xf numFmtId="3" fontId="13" fillId="2" borderId="2" xfId="21" applyNumberFormat="1" applyFont="1" applyFill="1" applyBorder="1" applyAlignment="1">
      <alignment horizontal="right"/>
    </xf>
    <xf numFmtId="3" fontId="13" fillId="2" borderId="4" xfId="21" applyNumberFormat="1" applyFont="1" applyFill="1" applyBorder="1" applyAlignment="1">
      <alignment horizontal="right"/>
    </xf>
    <xf numFmtId="3" fontId="13" fillId="2" borderId="77" xfId="21" applyNumberFormat="1" applyFont="1" applyFill="1" applyBorder="1" applyAlignment="1">
      <alignment horizontal="right"/>
    </xf>
    <xf numFmtId="3" fontId="13" fillId="2" borderId="76" xfId="21" applyNumberFormat="1" applyFont="1" applyFill="1" applyBorder="1" applyAlignment="1">
      <alignment horizontal="right"/>
    </xf>
    <xf numFmtId="0" fontId="13" fillId="2" borderId="76" xfId="21" applyFont="1" applyFill="1" applyBorder="1" applyAlignment="1">
      <alignment horizontal="left"/>
    </xf>
    <xf numFmtId="0" fontId="14" fillId="2" borderId="2" xfId="21" applyFont="1" applyFill="1" applyBorder="1"/>
    <xf numFmtId="0" fontId="2" fillId="2" borderId="2" xfId="21" applyFont="1" applyFill="1" applyBorder="1"/>
    <xf numFmtId="0" fontId="2" fillId="2" borderId="4" xfId="21" applyFont="1" applyFill="1" applyBorder="1"/>
    <xf numFmtId="0" fontId="2" fillId="2" borderId="77" xfId="21" applyFont="1" applyFill="1" applyBorder="1"/>
    <xf numFmtId="0" fontId="72" fillId="2" borderId="76" xfId="21" applyFont="1" applyFill="1" applyBorder="1" applyAlignment="1">
      <alignment horizontal="right"/>
    </xf>
    <xf numFmtId="1" fontId="2" fillId="2" borderId="2" xfId="21" applyNumberFormat="1" applyFont="1" applyFill="1" applyBorder="1"/>
    <xf numFmtId="1" fontId="14" fillId="2" borderId="2" xfId="21" applyNumberFormat="1" applyFont="1" applyFill="1" applyBorder="1"/>
    <xf numFmtId="3" fontId="2" fillId="2" borderId="0" xfId="21" applyNumberFormat="1" applyFont="1" applyFill="1" applyAlignment="1">
      <alignment horizontal="right"/>
    </xf>
    <xf numFmtId="3" fontId="2" fillId="2" borderId="78" xfId="21" applyNumberFormat="1" applyFont="1" applyFill="1" applyBorder="1" applyAlignment="1">
      <alignment horizontal="right"/>
    </xf>
    <xf numFmtId="3" fontId="2" fillId="2" borderId="76" xfId="21" applyNumberFormat="1" applyFont="1" applyFill="1" applyBorder="1" applyAlignment="1">
      <alignment horizontal="right"/>
    </xf>
    <xf numFmtId="0" fontId="2" fillId="2" borderId="76" xfId="21" applyFont="1" applyFill="1" applyBorder="1" applyAlignment="1">
      <alignment horizontal="left" indent="1"/>
    </xf>
    <xf numFmtId="3" fontId="2" fillId="2" borderId="4" xfId="21" applyNumberFormat="1" applyFont="1" applyFill="1" applyBorder="1" applyAlignment="1">
      <alignment horizontal="right"/>
    </xf>
    <xf numFmtId="3" fontId="14" fillId="2" borderId="4" xfId="21" applyNumberFormat="1" applyFont="1" applyFill="1" applyBorder="1" applyAlignment="1">
      <alignment horizontal="right"/>
    </xf>
    <xf numFmtId="3" fontId="2" fillId="2" borderId="0" xfId="21" applyNumberFormat="1" applyFont="1" applyFill="1" applyAlignment="1">
      <alignment horizontal="right" vertical="center" wrapText="1"/>
    </xf>
    <xf numFmtId="3" fontId="2" fillId="2" borderId="78" xfId="21" applyNumberFormat="1" applyFont="1" applyFill="1" applyBorder="1" applyAlignment="1">
      <alignment horizontal="right" vertical="center" wrapText="1"/>
    </xf>
    <xf numFmtId="0" fontId="2" fillId="2" borderId="76" xfId="21" applyFont="1" applyFill="1" applyBorder="1" applyAlignment="1">
      <alignment horizontal="left" vertical="center" indent="1"/>
    </xf>
    <xf numFmtId="3" fontId="2" fillId="2" borderId="4" xfId="21" applyNumberFormat="1" applyFont="1" applyFill="1" applyBorder="1" applyAlignment="1">
      <alignment horizontal="right" vertical="center" wrapText="1"/>
    </xf>
    <xf numFmtId="3" fontId="14" fillId="2" borderId="4" xfId="21" applyNumberFormat="1" applyFont="1" applyFill="1" applyBorder="1" applyAlignment="1">
      <alignment horizontal="right" vertical="center" wrapText="1"/>
    </xf>
    <xf numFmtId="3" fontId="2" fillId="2" borderId="77" xfId="21" applyNumberFormat="1" applyFont="1" applyFill="1" applyBorder="1" applyAlignment="1">
      <alignment horizontal="right"/>
    </xf>
    <xf numFmtId="0" fontId="2" fillId="2" borderId="76" xfId="21" applyFont="1" applyFill="1" applyBorder="1" applyAlignment="1">
      <alignment horizontal="left" vertical="center"/>
    </xf>
    <xf numFmtId="3" fontId="73" fillId="2" borderId="76" xfId="21" applyNumberFormat="1" applyFont="1" applyFill="1" applyBorder="1" applyAlignment="1">
      <alignment horizontal="right"/>
    </xf>
    <xf numFmtId="0" fontId="13" fillId="2" borderId="76" xfId="21" applyFont="1" applyFill="1" applyBorder="1" applyAlignment="1">
      <alignment horizontal="left" vertical="center"/>
    </xf>
    <xf numFmtId="3" fontId="72" fillId="2" borderId="76" xfId="21" applyNumberFormat="1" applyFont="1" applyFill="1" applyBorder="1" applyAlignment="1">
      <alignment horizontal="right"/>
    </xf>
    <xf numFmtId="3" fontId="14" fillId="2" borderId="78" xfId="21" applyNumberFormat="1" applyFont="1" applyFill="1" applyBorder="1" applyAlignment="1">
      <alignment horizontal="right"/>
    </xf>
    <xf numFmtId="3" fontId="14" fillId="2" borderId="78" xfId="21" applyNumberFormat="1" applyFont="1" applyFill="1" applyBorder="1" applyAlignment="1">
      <alignment horizontal="right" vertical="center" wrapText="1"/>
    </xf>
    <xf numFmtId="0" fontId="73" fillId="2" borderId="78" xfId="21" applyFont="1" applyFill="1" applyBorder="1" applyAlignment="1">
      <alignment horizontal="right" vertical="center" wrapText="1"/>
    </xf>
    <xf numFmtId="3" fontId="13" fillId="2" borderId="5" xfId="21" applyNumberFormat="1" applyFont="1" applyFill="1" applyBorder="1" applyAlignment="1">
      <alignment horizontal="right"/>
    </xf>
    <xf numFmtId="17" fontId="15" fillId="2" borderId="7" xfId="21" applyNumberFormat="1" applyFont="1" applyFill="1" applyBorder="1" applyAlignment="1">
      <alignment horizontal="center" vertical="center" wrapText="1"/>
    </xf>
    <xf numFmtId="17" fontId="13" fillId="2" borderId="7" xfId="21" applyNumberFormat="1" applyFont="1" applyFill="1" applyBorder="1" applyAlignment="1">
      <alignment horizontal="center" vertical="center" wrapText="1"/>
    </xf>
    <xf numFmtId="17" fontId="13" fillId="2" borderId="79" xfId="21" applyNumberFormat="1" applyFont="1" applyFill="1" applyBorder="1" applyAlignment="1">
      <alignment horizontal="center" vertical="center" wrapText="1"/>
    </xf>
    <xf numFmtId="17" fontId="13" fillId="2" borderId="80" xfId="21" applyNumberFormat="1" applyFont="1" applyFill="1" applyBorder="1" applyAlignment="1">
      <alignment horizontal="center" vertical="center" wrapText="1"/>
    </xf>
    <xf numFmtId="0" fontId="13" fillId="2" borderId="80" xfId="21" applyFont="1" applyFill="1" applyBorder="1" applyAlignment="1">
      <alignment horizontal="center" vertical="center"/>
    </xf>
    <xf numFmtId="0" fontId="26" fillId="2" borderId="0" xfId="21" applyFont="1" applyFill="1"/>
    <xf numFmtId="0" fontId="27" fillId="2" borderId="0" xfId="21" applyFont="1" applyFill="1"/>
    <xf numFmtId="0" fontId="9" fillId="2" borderId="0" xfId="21" applyFont="1" applyFill="1"/>
    <xf numFmtId="0" fontId="74" fillId="2" borderId="0" xfId="0" applyFont="1" applyFill="1"/>
    <xf numFmtId="165" fontId="69" fillId="2" borderId="0" xfId="8" applyFont="1" applyFill="1"/>
    <xf numFmtId="168" fontId="69" fillId="2" borderId="0" xfId="0" applyNumberFormat="1" applyFont="1" applyFill="1"/>
    <xf numFmtId="2" fontId="66" fillId="2" borderId="52" xfId="0" applyNumberFormat="1" applyFont="1" applyFill="1" applyBorder="1"/>
    <xf numFmtId="173" fontId="2" fillId="2" borderId="1" xfId="0" applyNumberFormat="1" applyFont="1" applyFill="1" applyBorder="1"/>
    <xf numFmtId="173" fontId="2" fillId="2" borderId="54" xfId="0" applyNumberFormat="1" applyFont="1" applyFill="1" applyBorder="1"/>
    <xf numFmtId="173" fontId="2" fillId="2" borderId="53" xfId="0" applyNumberFormat="1" applyFont="1" applyFill="1" applyBorder="1"/>
    <xf numFmtId="0" fontId="2" fillId="2" borderId="52" xfId="0" applyFont="1" applyFill="1" applyBorder="1"/>
    <xf numFmtId="2" fontId="66" fillId="2" borderId="23" xfId="0" applyNumberFormat="1" applyFont="1" applyFill="1" applyBorder="1"/>
    <xf numFmtId="166" fontId="67" fillId="2" borderId="4" xfId="8" applyNumberFormat="1" applyFont="1" applyFill="1" applyBorder="1"/>
    <xf numFmtId="166" fontId="67" fillId="2" borderId="27" xfId="8" applyNumberFormat="1" applyFont="1" applyFill="1" applyBorder="1"/>
    <xf numFmtId="166" fontId="13" fillId="2" borderId="27" xfId="8" applyNumberFormat="1" applyFont="1" applyFill="1" applyBorder="1"/>
    <xf numFmtId="168" fontId="13" fillId="2" borderId="4" xfId="0" applyNumberFormat="1" applyFont="1" applyFill="1" applyBorder="1"/>
    <xf numFmtId="173" fontId="13" fillId="2" borderId="27" xfId="0" applyNumberFormat="1" applyFont="1" applyFill="1" applyBorder="1"/>
    <xf numFmtId="3" fontId="13" fillId="2" borderId="27" xfId="0" applyNumberFormat="1" applyFont="1" applyFill="1" applyBorder="1"/>
    <xf numFmtId="3" fontId="66" fillId="2" borderId="23" xfId="0" applyNumberFormat="1" applyFont="1" applyFill="1" applyBorder="1"/>
    <xf numFmtId="173" fontId="2" fillId="2" borderId="24" xfId="0" applyNumberFormat="1" applyFont="1" applyFill="1" applyBorder="1"/>
    <xf numFmtId="3" fontId="13" fillId="2" borderId="23" xfId="0" applyNumberFormat="1" applyFont="1" applyFill="1" applyBorder="1" applyAlignment="1">
      <alignment horizontal="center"/>
    </xf>
    <xf numFmtId="173" fontId="66" fillId="2" borderId="23" xfId="0" applyNumberFormat="1" applyFont="1" applyFill="1" applyBorder="1"/>
    <xf numFmtId="166" fontId="66" fillId="2" borderId="4" xfId="8" applyNumberFormat="1" applyFont="1" applyFill="1" applyBorder="1"/>
    <xf numFmtId="166" fontId="2" fillId="2" borderId="27" xfId="8" quotePrefix="1" applyNumberFormat="1" applyFont="1" applyFill="1" applyBorder="1" applyAlignment="1">
      <alignment horizontal="center"/>
    </xf>
    <xf numFmtId="168" fontId="66" fillId="2" borderId="4" xfId="0" applyNumberFormat="1" applyFont="1" applyFill="1" applyBorder="1"/>
    <xf numFmtId="173" fontId="2" fillId="2" borderId="27" xfId="0" quotePrefix="1" applyNumberFormat="1" applyFont="1" applyFill="1" applyBorder="1" applyAlignment="1">
      <alignment horizontal="center"/>
    </xf>
    <xf numFmtId="1" fontId="66" fillId="2" borderId="4" xfId="0" applyNumberFormat="1" applyFont="1" applyFill="1" applyBorder="1"/>
    <xf numFmtId="1" fontId="2" fillId="2" borderId="27" xfId="0" quotePrefix="1" applyNumberFormat="1" applyFont="1" applyFill="1" applyBorder="1" applyAlignment="1">
      <alignment horizontal="center"/>
    </xf>
    <xf numFmtId="165" fontId="2" fillId="2" borderId="24" xfId="8" quotePrefix="1" applyFont="1" applyFill="1" applyBorder="1" applyAlignment="1">
      <alignment horizontal="center"/>
    </xf>
    <xf numFmtId="166" fontId="66" fillId="2" borderId="27" xfId="8" applyNumberFormat="1" applyFont="1" applyFill="1" applyBorder="1"/>
    <xf numFmtId="173" fontId="66" fillId="2" borderId="27" xfId="0" applyNumberFormat="1" applyFont="1" applyFill="1" applyBorder="1"/>
    <xf numFmtId="1" fontId="66" fillId="2" borderId="27" xfId="0" applyNumberFormat="1" applyFont="1" applyFill="1" applyBorder="1"/>
    <xf numFmtId="173" fontId="66" fillId="2" borderId="24" xfId="0" applyNumberFormat="1" applyFont="1" applyFill="1" applyBorder="1"/>
    <xf numFmtId="165" fontId="66" fillId="2" borderId="23" xfId="8" applyFont="1" applyFill="1" applyBorder="1"/>
    <xf numFmtId="165" fontId="66" fillId="2" borderId="4" xfId="8" applyFont="1" applyFill="1" applyBorder="1"/>
    <xf numFmtId="165" fontId="66" fillId="2" borderId="27" xfId="8" applyFont="1" applyFill="1" applyBorder="1"/>
    <xf numFmtId="0" fontId="66" fillId="2" borderId="23" xfId="0" applyFont="1" applyFill="1" applyBorder="1" applyAlignment="1">
      <alignment horizontal="center"/>
    </xf>
    <xf numFmtId="0" fontId="66" fillId="2" borderId="4" xfId="0" applyFont="1" applyFill="1" applyBorder="1"/>
    <xf numFmtId="0" fontId="66" fillId="2" borderId="27" xfId="0" applyFont="1" applyFill="1" applyBorder="1" applyAlignment="1">
      <alignment horizontal="center"/>
    </xf>
    <xf numFmtId="0" fontId="66" fillId="2" borderId="0" xfId="0" applyFont="1" applyFill="1"/>
    <xf numFmtId="0" fontId="66" fillId="2" borderId="24" xfId="0" applyFont="1" applyFill="1" applyBorder="1" applyAlignment="1">
      <alignment horizontal="center"/>
    </xf>
    <xf numFmtId="0" fontId="67" fillId="2" borderId="23" xfId="0" applyFont="1" applyFill="1" applyBorder="1"/>
    <xf numFmtId="0" fontId="30" fillId="2" borderId="55" xfId="0" applyFont="1" applyFill="1" applyBorder="1" applyAlignment="1">
      <alignment horizontal="center"/>
    </xf>
    <xf numFmtId="0" fontId="13" fillId="2" borderId="35" xfId="0" applyFont="1" applyFill="1" applyBorder="1" applyAlignment="1">
      <alignment horizontal="center"/>
    </xf>
    <xf numFmtId="0" fontId="13" fillId="2" borderId="36" xfId="0" applyFont="1" applyFill="1" applyBorder="1" applyAlignment="1">
      <alignment horizontal="center"/>
    </xf>
    <xf numFmtId="0" fontId="2" fillId="2" borderId="23" xfId="0" applyFont="1" applyFill="1" applyBorder="1"/>
    <xf numFmtId="0" fontId="13" fillId="2" borderId="25" xfId="0" applyFont="1" applyFill="1" applyBorder="1" applyAlignment="1">
      <alignment horizontal="centerContinuous"/>
    </xf>
    <xf numFmtId="0" fontId="13" fillId="2" borderId="26" xfId="0" applyFont="1" applyFill="1" applyBorder="1" applyAlignment="1">
      <alignment horizontal="centerContinuous"/>
    </xf>
    <xf numFmtId="0" fontId="13" fillId="2" borderId="62" xfId="0" applyFont="1" applyFill="1" applyBorder="1" applyAlignment="1">
      <alignment horizontal="centerContinuous"/>
    </xf>
    <xf numFmtId="0" fontId="27" fillId="2" borderId="0" xfId="0" applyFont="1" applyFill="1" applyAlignment="1">
      <alignment horizontal="right"/>
    </xf>
    <xf numFmtId="0" fontId="27" fillId="2" borderId="0" xfId="0" applyFont="1" applyFill="1" applyAlignment="1">
      <alignment horizontal="left" indent="4"/>
    </xf>
    <xf numFmtId="0" fontId="53" fillId="2" borderId="15" xfId="0" applyFont="1" applyFill="1" applyBorder="1" applyAlignment="1">
      <alignment horizontal="right"/>
    </xf>
    <xf numFmtId="0" fontId="69" fillId="2" borderId="15" xfId="0" applyFont="1" applyFill="1" applyBorder="1"/>
    <xf numFmtId="0" fontId="22" fillId="2" borderId="15" xfId="0" applyFont="1" applyFill="1" applyBorder="1" applyAlignment="1">
      <alignment horizontal="center"/>
    </xf>
    <xf numFmtId="0" fontId="2" fillId="2" borderId="81" xfId="0" applyFont="1" applyFill="1" applyBorder="1"/>
    <xf numFmtId="0" fontId="2" fillId="2" borderId="26" xfId="0" applyFont="1" applyFill="1" applyBorder="1"/>
    <xf numFmtId="0" fontId="2" fillId="2" borderId="62" xfId="0" applyFont="1" applyFill="1" applyBorder="1"/>
    <xf numFmtId="0" fontId="2" fillId="2" borderId="25" xfId="0" applyFont="1" applyFill="1" applyBorder="1"/>
    <xf numFmtId="0" fontId="2" fillId="2" borderId="82" xfId="0" applyFont="1" applyFill="1" applyBorder="1"/>
    <xf numFmtId="0" fontId="2" fillId="2" borderId="83" xfId="0" applyFont="1" applyFill="1" applyBorder="1"/>
    <xf numFmtId="0" fontId="75" fillId="2" borderId="0" xfId="0" applyFont="1" applyFill="1"/>
    <xf numFmtId="0" fontId="9" fillId="2" borderId="28" xfId="0" applyFont="1" applyFill="1" applyBorder="1"/>
    <xf numFmtId="3" fontId="9" fillId="2" borderId="4" xfId="20" applyNumberFormat="1" applyFont="1" applyFill="1" applyBorder="1" applyAlignment="1">
      <alignment horizontal="center"/>
    </xf>
    <xf numFmtId="173" fontId="9" fillId="2" borderId="4" xfId="0" applyNumberFormat="1" applyFont="1" applyFill="1" applyBorder="1"/>
    <xf numFmtId="173" fontId="9" fillId="2" borderId="24" xfId="0" applyNumberFormat="1" applyFont="1" applyFill="1" applyBorder="1"/>
    <xf numFmtId="0" fontId="9" fillId="2" borderId="23" xfId="0" applyFont="1" applyFill="1" applyBorder="1"/>
    <xf numFmtId="0" fontId="9" fillId="2" borderId="3" xfId="0" applyFont="1" applyFill="1" applyBorder="1"/>
    <xf numFmtId="173" fontId="9" fillId="2" borderId="2" xfId="0" applyNumberFormat="1" applyFont="1" applyFill="1" applyBorder="1"/>
    <xf numFmtId="0" fontId="9" fillId="2" borderId="29" xfId="0" applyFont="1" applyFill="1" applyBorder="1" applyAlignment="1">
      <alignment horizontal="center" wrapText="1"/>
    </xf>
    <xf numFmtId="3" fontId="13" fillId="2" borderId="28" xfId="0" applyNumberFormat="1" applyFont="1" applyFill="1" applyBorder="1"/>
    <xf numFmtId="3" fontId="2" fillId="2" borderId="4" xfId="20" applyNumberFormat="1" applyFont="1" applyFill="1" applyBorder="1" applyAlignment="1">
      <alignment horizontal="center"/>
    </xf>
    <xf numFmtId="3" fontId="2" fillId="2" borderId="4" xfId="22" applyNumberFormat="1" applyFont="1" applyFill="1" applyBorder="1"/>
    <xf numFmtId="3" fontId="2" fillId="2" borderId="4" xfId="20" applyNumberFormat="1" applyFont="1" applyFill="1" applyBorder="1"/>
    <xf numFmtId="3" fontId="13" fillId="2" borderId="23" xfId="0" applyNumberFormat="1" applyFont="1" applyFill="1" applyBorder="1"/>
    <xf numFmtId="0" fontId="2" fillId="2" borderId="29" xfId="0" applyFont="1" applyFill="1" applyBorder="1" applyAlignment="1">
      <alignment horizontal="center" wrapText="1"/>
    </xf>
    <xf numFmtId="0" fontId="2" fillId="2" borderId="28" xfId="0" applyFont="1" applyFill="1" applyBorder="1"/>
    <xf numFmtId="0" fontId="13" fillId="2" borderId="29" xfId="0" applyFont="1" applyFill="1" applyBorder="1" applyAlignment="1">
      <alignment horizontal="center" wrapText="1"/>
    </xf>
    <xf numFmtId="0" fontId="2" fillId="2" borderId="84" xfId="0" applyFont="1" applyFill="1" applyBorder="1"/>
    <xf numFmtId="0" fontId="2" fillId="2" borderId="32" xfId="0" applyFont="1" applyFill="1" applyBorder="1"/>
    <xf numFmtId="0" fontId="13" fillId="2" borderId="85" xfId="0" applyFont="1" applyFill="1" applyBorder="1" applyAlignment="1">
      <alignment horizontal="center"/>
    </xf>
    <xf numFmtId="0" fontId="13" fillId="2" borderId="7" xfId="0" applyFont="1" applyFill="1" applyBorder="1" applyAlignment="1">
      <alignment horizontal="center"/>
    </xf>
    <xf numFmtId="0" fontId="13" fillId="2" borderId="57" xfId="0" applyFont="1" applyFill="1" applyBorder="1" applyAlignment="1">
      <alignment horizontal="center"/>
    </xf>
    <xf numFmtId="0" fontId="13" fillId="2" borderId="58" xfId="0" applyFont="1" applyFill="1" applyBorder="1" applyAlignment="1">
      <alignment horizontal="center"/>
    </xf>
    <xf numFmtId="0" fontId="13" fillId="2" borderId="12" xfId="0" applyFont="1" applyFill="1" applyBorder="1" applyAlignment="1">
      <alignment horizontal="center"/>
    </xf>
    <xf numFmtId="0" fontId="2" fillId="2" borderId="47" xfId="0" applyFont="1" applyFill="1" applyBorder="1"/>
    <xf numFmtId="0" fontId="22" fillId="2" borderId="0" xfId="0" applyFont="1" applyFill="1" applyAlignment="1">
      <alignment horizontal="center"/>
    </xf>
    <xf numFmtId="0" fontId="9" fillId="2" borderId="0" xfId="0" applyFont="1" applyFill="1" applyAlignment="1">
      <alignment horizontal="center"/>
    </xf>
    <xf numFmtId="0" fontId="53" fillId="2" borderId="0" xfId="0" applyFont="1" applyFill="1" applyAlignment="1">
      <alignment horizontal="center"/>
    </xf>
    <xf numFmtId="0" fontId="9" fillId="2" borderId="0" xfId="0" applyFont="1" applyFill="1" applyAlignment="1">
      <alignment horizontal="left"/>
    </xf>
    <xf numFmtId="166" fontId="69" fillId="2" borderId="0" xfId="8" applyNumberFormat="1" applyFont="1" applyFill="1"/>
    <xf numFmtId="169" fontId="27" fillId="2" borderId="0" xfId="8" applyNumberFormat="1" applyFont="1" applyFill="1"/>
    <xf numFmtId="168" fontId="55" fillId="2" borderId="1" xfId="13" applyNumberFormat="1" applyFont="1" applyFill="1" applyBorder="1"/>
    <xf numFmtId="168" fontId="27" fillId="2" borderId="1" xfId="13" applyNumberFormat="1" applyFont="1" applyFill="1" applyBorder="1"/>
    <xf numFmtId="3" fontId="55" fillId="2" borderId="4" xfId="13" applyNumberFormat="1" applyFont="1" applyFill="1" applyBorder="1"/>
    <xf numFmtId="166" fontId="27" fillId="2" borderId="4" xfId="8" applyNumberFormat="1" applyFont="1" applyFill="1" applyBorder="1"/>
    <xf numFmtId="168" fontId="27" fillId="2" borderId="4" xfId="13" applyNumberFormat="1" applyFont="1" applyFill="1" applyBorder="1"/>
    <xf numFmtId="173" fontId="27" fillId="2" borderId="4" xfId="13" applyNumberFormat="1" applyFont="1" applyFill="1" applyBorder="1"/>
    <xf numFmtId="3" fontId="55" fillId="2" borderId="4" xfId="0" applyNumberFormat="1" applyFont="1" applyFill="1" applyBorder="1"/>
    <xf numFmtId="3" fontId="22" fillId="2" borderId="4" xfId="13" applyNumberFormat="1" applyFont="1" applyFill="1" applyBorder="1"/>
    <xf numFmtId="3" fontId="30" fillId="2" borderId="4" xfId="13" applyNumberFormat="1" applyFont="1" applyFill="1" applyBorder="1"/>
    <xf numFmtId="0" fontId="22" fillId="2" borderId="5" xfId="13" applyFont="1" applyFill="1" applyBorder="1" applyAlignment="1">
      <alignment horizontal="right"/>
    </xf>
    <xf numFmtId="0" fontId="30" fillId="2" borderId="10" xfId="13" applyFont="1" applyFill="1" applyBorder="1" applyAlignment="1">
      <alignment horizontal="right"/>
    </xf>
    <xf numFmtId="165" fontId="30" fillId="2" borderId="5" xfId="4" applyFont="1" applyFill="1" applyBorder="1" applyAlignment="1">
      <alignment horizontal="right"/>
    </xf>
    <xf numFmtId="0" fontId="22" fillId="2" borderId="1" xfId="13" applyFont="1" applyFill="1" applyBorder="1" applyAlignment="1">
      <alignment horizontal="center"/>
    </xf>
    <xf numFmtId="171" fontId="22" fillId="2" borderId="5" xfId="13" applyNumberFormat="1" applyFont="1" applyFill="1" applyBorder="1" applyAlignment="1">
      <alignment horizontal="center"/>
    </xf>
    <xf numFmtId="0" fontId="27" fillId="2" borderId="3" xfId="13" applyFont="1" applyFill="1" applyBorder="1"/>
    <xf numFmtId="0" fontId="55" fillId="2" borderId="0" xfId="13" applyFont="1" applyFill="1" applyAlignment="1">
      <alignment horizontal="right"/>
    </xf>
    <xf numFmtId="0" fontId="27" fillId="2" borderId="0" xfId="13" applyFont="1" applyFill="1" applyAlignment="1">
      <alignment horizontal="left"/>
    </xf>
    <xf numFmtId="0" fontId="9" fillId="2" borderId="15" xfId="13" applyFont="1" applyFill="1" applyBorder="1"/>
    <xf numFmtId="165" fontId="26" fillId="2" borderId="0" xfId="8" applyFont="1" applyFill="1"/>
    <xf numFmtId="0" fontId="26" fillId="2" borderId="0" xfId="0" applyFont="1" applyFill="1" applyAlignment="1">
      <alignment horizontal="left"/>
    </xf>
    <xf numFmtId="165" fontId="76" fillId="2" borderId="0" xfId="8" applyFont="1" applyFill="1"/>
    <xf numFmtId="165" fontId="45" fillId="2" borderId="0" xfId="8" applyFont="1" applyFill="1"/>
    <xf numFmtId="0" fontId="76" fillId="2" borderId="0" xfId="0" applyFont="1" applyFill="1"/>
    <xf numFmtId="165" fontId="51" fillId="2" borderId="0" xfId="8" applyFont="1" applyFill="1" applyBorder="1"/>
    <xf numFmtId="177" fontId="26" fillId="2" borderId="0" xfId="0" applyNumberFormat="1" applyFont="1" applyFill="1" applyAlignment="1">
      <alignment horizontal="left"/>
    </xf>
    <xf numFmtId="0" fontId="26" fillId="2" borderId="83" xfId="0" applyFont="1" applyFill="1" applyBorder="1"/>
    <xf numFmtId="37" fontId="26" fillId="2" borderId="83" xfId="8" applyNumberFormat="1" applyFont="1" applyFill="1" applyBorder="1" applyAlignment="1"/>
    <xf numFmtId="177" fontId="26" fillId="2" borderId="87" xfId="0" applyNumberFormat="1" applyFont="1" applyFill="1" applyBorder="1" applyAlignment="1">
      <alignment horizontal="left"/>
    </xf>
    <xf numFmtId="0" fontId="26" fillId="2" borderId="29" xfId="0" applyFont="1" applyFill="1" applyBorder="1"/>
    <xf numFmtId="166" fontId="32" fillId="2" borderId="29" xfId="8" applyNumberFormat="1" applyFont="1" applyFill="1" applyBorder="1"/>
    <xf numFmtId="37" fontId="26" fillId="2" borderId="29" xfId="8" applyNumberFormat="1" applyFont="1" applyFill="1" applyBorder="1" applyAlignment="1"/>
    <xf numFmtId="0" fontId="26" fillId="2" borderId="88" xfId="0" applyFont="1" applyFill="1" applyBorder="1" applyAlignment="1">
      <alignment horizontal="left"/>
    </xf>
    <xf numFmtId="0" fontId="32" fillId="2" borderId="0" xfId="0" applyFont="1" applyFill="1"/>
    <xf numFmtId="3" fontId="32" fillId="2" borderId="29" xfId="0" applyNumberFormat="1" applyFont="1" applyFill="1" applyBorder="1"/>
    <xf numFmtId="3" fontId="32" fillId="2" borderId="29" xfId="8" applyNumberFormat="1" applyFont="1" applyFill="1" applyBorder="1"/>
    <xf numFmtId="37" fontId="32" fillId="2" borderId="29" xfId="8" applyNumberFormat="1" applyFont="1" applyFill="1" applyBorder="1" applyAlignment="1"/>
    <xf numFmtId="177" fontId="32" fillId="2" borderId="88" xfId="0" applyNumberFormat="1" applyFont="1" applyFill="1" applyBorder="1" applyAlignment="1">
      <alignment horizontal="left" indent="3"/>
    </xf>
    <xf numFmtId="3" fontId="34" fillId="2" borderId="29" xfId="8" applyNumberFormat="1" applyFont="1" applyFill="1" applyBorder="1" applyAlignment="1"/>
    <xf numFmtId="37" fontId="34" fillId="2" borderId="29" xfId="8" applyNumberFormat="1" applyFont="1" applyFill="1" applyBorder="1" applyAlignment="1"/>
    <xf numFmtId="177" fontId="34" fillId="2" borderId="88" xfId="0" applyNumberFormat="1" applyFont="1" applyFill="1" applyBorder="1" applyAlignment="1">
      <alignment horizontal="left" indent="2"/>
    </xf>
    <xf numFmtId="166" fontId="50" fillId="2" borderId="29" xfId="8" applyNumberFormat="1" applyFont="1" applyFill="1" applyBorder="1" applyAlignment="1"/>
    <xf numFmtId="177" fontId="77" fillId="2" borderId="88" xfId="0" applyNumberFormat="1" applyFont="1" applyFill="1" applyBorder="1" applyAlignment="1">
      <alignment horizontal="left" indent="3"/>
    </xf>
    <xf numFmtId="3" fontId="56" fillId="2" borderId="29" xfId="8" applyNumberFormat="1" applyFont="1" applyFill="1" applyBorder="1" applyAlignment="1"/>
    <xf numFmtId="3" fontId="50" fillId="2" borderId="29" xfId="8" applyNumberFormat="1" applyFont="1" applyFill="1" applyBorder="1" applyAlignment="1"/>
    <xf numFmtId="3" fontId="32" fillId="2" borderId="29" xfId="8" applyNumberFormat="1" applyFont="1" applyFill="1" applyBorder="1" applyAlignment="1"/>
    <xf numFmtId="3" fontId="26" fillId="2" borderId="29" xfId="0" applyNumberFormat="1" applyFont="1" applyFill="1" applyBorder="1"/>
    <xf numFmtId="177" fontId="26" fillId="2" borderId="88" xfId="0" applyNumberFormat="1" applyFont="1" applyFill="1" applyBorder="1" applyAlignment="1">
      <alignment horizontal="left" indent="2"/>
    </xf>
    <xf numFmtId="177" fontId="26" fillId="2" borderId="88" xfId="0" applyNumberFormat="1" applyFont="1" applyFill="1" applyBorder="1" applyAlignment="1">
      <alignment horizontal="left" indent="1"/>
    </xf>
    <xf numFmtId="177" fontId="32" fillId="2" borderId="88" xfId="0" applyNumberFormat="1" applyFont="1" applyFill="1" applyBorder="1" applyAlignment="1">
      <alignment horizontal="left" indent="1"/>
    </xf>
    <xf numFmtId="3" fontId="28" fillId="2" borderId="29" xfId="8" applyNumberFormat="1" applyFont="1" applyFill="1" applyBorder="1" applyAlignment="1"/>
    <xf numFmtId="37" fontId="28" fillId="2" borderId="29" xfId="8" applyNumberFormat="1" applyFont="1" applyFill="1" applyBorder="1" applyAlignment="1"/>
    <xf numFmtId="177" fontId="79" fillId="2" borderId="88" xfId="0" applyNumberFormat="1" applyFont="1" applyFill="1" applyBorder="1" applyAlignment="1">
      <alignment horizontal="left" vertical="center" indent="1"/>
    </xf>
    <xf numFmtId="37" fontId="51" fillId="2" borderId="29" xfId="8" applyNumberFormat="1" applyFont="1" applyFill="1" applyBorder="1" applyAlignment="1"/>
    <xf numFmtId="177" fontId="32" fillId="2" borderId="88" xfId="0" applyNumberFormat="1" applyFont="1" applyFill="1" applyBorder="1" applyAlignment="1">
      <alignment horizontal="left" indent="5"/>
    </xf>
    <xf numFmtId="177" fontId="34" fillId="2" borderId="88" xfId="0" applyNumberFormat="1" applyFont="1" applyFill="1" applyBorder="1" applyAlignment="1">
      <alignment horizontal="left" indent="4"/>
    </xf>
    <xf numFmtId="177" fontId="32" fillId="2" borderId="88" xfId="0" applyNumberFormat="1" applyFont="1" applyFill="1" applyBorder="1" applyAlignment="1">
      <alignment horizontal="left" indent="4"/>
    </xf>
    <xf numFmtId="37" fontId="28" fillId="2" borderId="29" xfId="8" applyNumberFormat="1" applyFont="1" applyFill="1" applyBorder="1" applyAlignment="1" applyProtection="1">
      <alignment vertical="center"/>
    </xf>
    <xf numFmtId="177" fontId="79" fillId="2" borderId="88" xfId="0" applyNumberFormat="1" applyFont="1" applyFill="1" applyBorder="1" applyAlignment="1">
      <alignment horizontal="left" vertical="center"/>
    </xf>
    <xf numFmtId="3" fontId="28" fillId="2" borderId="29" xfId="8" applyNumberFormat="1" applyFont="1" applyFill="1" applyBorder="1" applyAlignment="1" applyProtection="1">
      <alignment vertical="center"/>
    </xf>
    <xf numFmtId="3" fontId="51" fillId="2" borderId="29" xfId="0" applyNumberFormat="1" applyFont="1" applyFill="1" applyBorder="1"/>
    <xf numFmtId="37" fontId="60" fillId="2" borderId="29" xfId="8" applyNumberFormat="1" applyFont="1" applyFill="1" applyBorder="1" applyAlignment="1" applyProtection="1">
      <alignment vertical="center"/>
    </xf>
    <xf numFmtId="177" fontId="60" fillId="2" borderId="88" xfId="0" applyNumberFormat="1" applyFont="1" applyFill="1" applyBorder="1" applyAlignment="1">
      <alignment horizontal="left" vertical="center"/>
    </xf>
    <xf numFmtId="0" fontId="37" fillId="2" borderId="0" xfId="0" applyFont="1" applyFill="1"/>
    <xf numFmtId="37" fontId="35" fillId="2" borderId="29" xfId="8" applyNumberFormat="1" applyFont="1" applyFill="1" applyBorder="1" applyAlignment="1"/>
    <xf numFmtId="177" fontId="35" fillId="2" borderId="88" xfId="0" applyNumberFormat="1" applyFont="1" applyFill="1" applyBorder="1" applyAlignment="1">
      <alignment horizontal="left" vertical="center"/>
    </xf>
    <xf numFmtId="37" fontId="60" fillId="2" borderId="29" xfId="8" applyNumberFormat="1" applyFont="1" applyFill="1" applyBorder="1" applyAlignment="1"/>
    <xf numFmtId="177" fontId="28" fillId="2" borderId="88" xfId="0" applyNumberFormat="1" applyFont="1" applyFill="1" applyBorder="1" applyAlignment="1">
      <alignment horizontal="left" vertical="center"/>
    </xf>
    <xf numFmtId="37" fontId="35" fillId="2" borderId="29" xfId="8" applyNumberFormat="1" applyFont="1" applyFill="1" applyBorder="1" applyAlignment="1" applyProtection="1">
      <alignment vertical="center"/>
    </xf>
    <xf numFmtId="37" fontId="35" fillId="2" borderId="89" xfId="8" applyNumberFormat="1" applyFont="1" applyFill="1" applyBorder="1" applyAlignment="1" applyProtection="1">
      <alignment vertical="center"/>
    </xf>
    <xf numFmtId="17" fontId="28" fillId="2" borderId="86" xfId="8" applyNumberFormat="1" applyFont="1" applyFill="1" applyBorder="1" applyAlignment="1" applyProtection="1">
      <alignment horizontal="center" vertical="center"/>
    </xf>
    <xf numFmtId="17" fontId="28" fillId="2" borderId="35" xfId="8" applyNumberFormat="1" applyFont="1" applyFill="1" applyBorder="1" applyAlignment="1" applyProtection="1">
      <alignment horizontal="center" vertical="center"/>
    </xf>
    <xf numFmtId="17" fontId="28" fillId="2" borderId="90" xfId="8" applyNumberFormat="1" applyFont="1" applyFill="1" applyBorder="1" applyAlignment="1" applyProtection="1">
      <alignment horizontal="center" vertical="center"/>
    </xf>
    <xf numFmtId="177" fontId="28" fillId="2" borderId="46" xfId="0" applyNumberFormat="1" applyFont="1" applyFill="1" applyBorder="1" applyAlignment="1">
      <alignment horizontal="left" vertical="center"/>
    </xf>
    <xf numFmtId="0" fontId="32" fillId="2" borderId="0" xfId="0" applyFont="1" applyFill="1" applyAlignment="1">
      <alignment horizontal="right"/>
    </xf>
    <xf numFmtId="165" fontId="32" fillId="2" borderId="0" xfId="8" applyFont="1" applyFill="1"/>
    <xf numFmtId="0" fontId="32" fillId="2" borderId="0" xfId="0" applyFont="1" applyFill="1" applyAlignment="1">
      <alignment horizontal="left"/>
    </xf>
    <xf numFmtId="0" fontId="83" fillId="2" borderId="0" xfId="6" applyFont="1" applyFill="1" applyAlignment="1">
      <alignment horizontal="left"/>
    </xf>
    <xf numFmtId="3" fontId="9" fillId="2" borderId="4" xfId="11" applyNumberFormat="1" applyFont="1" applyFill="1" applyBorder="1"/>
    <xf numFmtId="3" fontId="2" fillId="2" borderId="4" xfId="11" applyNumberFormat="1" applyFont="1" applyFill="1" applyBorder="1"/>
    <xf numFmtId="168" fontId="2" fillId="2" borderId="0" xfId="1" applyNumberFormat="1" applyFont="1" applyFill="1" applyAlignment="1">
      <alignment horizontal="left" vertical="top" wrapText="1"/>
    </xf>
    <xf numFmtId="0" fontId="26" fillId="2" borderId="0" xfId="0" applyFont="1" applyFill="1"/>
    <xf numFmtId="0" fontId="85" fillId="2" borderId="0" xfId="0" applyFont="1" applyFill="1" applyAlignment="1">
      <alignment horizontal="center" vertical="center"/>
    </xf>
    <xf numFmtId="0" fontId="14" fillId="2" borderId="6" xfId="0" applyFont="1" applyFill="1" applyBorder="1" applyAlignment="1">
      <alignment horizontal="left" vertical="center" wrapText="1"/>
    </xf>
    <xf numFmtId="0" fontId="86" fillId="2" borderId="92" xfId="0" applyFont="1" applyFill="1" applyBorder="1" applyAlignment="1">
      <alignment horizontal="left" vertical="center" wrapText="1"/>
    </xf>
    <xf numFmtId="0" fontId="86" fillId="2" borderId="93" xfId="0" applyFont="1" applyFill="1" applyBorder="1" applyAlignment="1">
      <alignment horizontal="left" vertical="center" wrapText="1"/>
    </xf>
    <xf numFmtId="0" fontId="15" fillId="2" borderId="92" xfId="0" applyFont="1" applyFill="1" applyBorder="1" applyAlignment="1">
      <alignment horizontal="left" vertical="center" wrapText="1" indent="1"/>
    </xf>
    <xf numFmtId="173" fontId="14" fillId="2" borderId="93" xfId="0" applyNumberFormat="1" applyFont="1" applyFill="1" applyBorder="1" applyAlignment="1">
      <alignment horizontal="center" vertical="center" wrapText="1"/>
    </xf>
    <xf numFmtId="173" fontId="15" fillId="2" borderId="93" xfId="0" applyNumberFormat="1" applyFont="1" applyFill="1" applyBorder="1" applyAlignment="1">
      <alignment horizontal="center" vertical="center" wrapText="1"/>
    </xf>
    <xf numFmtId="0" fontId="14" fillId="2" borderId="92" xfId="0" applyFont="1" applyFill="1" applyBorder="1" applyAlignment="1">
      <alignment horizontal="left" vertical="center" wrapText="1" indent="1"/>
    </xf>
    <xf numFmtId="0" fontId="14" fillId="2" borderId="92" xfId="0" applyFont="1" applyFill="1" applyBorder="1" applyAlignment="1">
      <alignment horizontal="left" vertical="center" wrapText="1" indent="2"/>
    </xf>
    <xf numFmtId="0" fontId="11" fillId="2" borderId="92" xfId="0" applyFont="1" applyFill="1" applyBorder="1" applyAlignment="1">
      <alignment horizontal="left" vertical="center" wrapText="1" indent="1"/>
    </xf>
    <xf numFmtId="173" fontId="11" fillId="2" borderId="93" xfId="0" applyNumberFormat="1" applyFont="1" applyFill="1" applyBorder="1" applyAlignment="1">
      <alignment horizontal="center" vertical="center" wrapText="1"/>
    </xf>
    <xf numFmtId="0" fontId="14" fillId="2" borderId="92" xfId="0" applyFont="1" applyFill="1" applyBorder="1" applyAlignment="1">
      <alignment horizontal="left" vertical="center" wrapText="1" indent="3"/>
    </xf>
    <xf numFmtId="0" fontId="14" fillId="2" borderId="92" xfId="0" applyFont="1" applyFill="1" applyBorder="1" applyAlignment="1">
      <alignment horizontal="left" vertical="center" indent="1"/>
    </xf>
    <xf numFmtId="173" fontId="14" fillId="2" borderId="93" xfId="0" applyNumberFormat="1" applyFont="1" applyFill="1" applyBorder="1" applyAlignment="1">
      <alignment horizontal="center" vertical="center"/>
    </xf>
    <xf numFmtId="0" fontId="14" fillId="2" borderId="94" xfId="0" applyFont="1" applyFill="1" applyBorder="1" applyAlignment="1">
      <alignment horizontal="left" vertical="center" wrapText="1" indent="1"/>
    </xf>
    <xf numFmtId="173" fontId="14" fillId="2" borderId="95" xfId="0" applyNumberFormat="1" applyFont="1" applyFill="1" applyBorder="1" applyAlignment="1">
      <alignment horizontal="center" vertical="center" wrapText="1"/>
    </xf>
    <xf numFmtId="173" fontId="86" fillId="2" borderId="93" xfId="0" applyNumberFormat="1" applyFont="1" applyFill="1" applyBorder="1" applyAlignment="1">
      <alignment horizontal="center" vertical="center" wrapText="1"/>
    </xf>
    <xf numFmtId="0" fontId="14" fillId="2" borderId="9" xfId="0" applyFont="1" applyFill="1" applyBorder="1" applyAlignment="1">
      <alignment horizontal="left" vertical="center" wrapText="1" indent="1"/>
    </xf>
    <xf numFmtId="173" fontId="14" fillId="2" borderId="1" xfId="0" applyNumberFormat="1" applyFont="1" applyFill="1" applyBorder="1" applyAlignment="1">
      <alignment horizontal="center" vertical="center" wrapText="1"/>
    </xf>
    <xf numFmtId="0" fontId="11" fillId="2" borderId="0" xfId="0" applyFont="1" applyFill="1" applyAlignment="1">
      <alignment horizontal="left" vertical="top"/>
    </xf>
    <xf numFmtId="0" fontId="11" fillId="2" borderId="0" xfId="0" applyFont="1" applyFill="1" applyAlignment="1">
      <alignment vertical="top" wrapText="1"/>
    </xf>
    <xf numFmtId="0" fontId="11" fillId="2" borderId="0" xfId="0" applyFont="1" applyFill="1" applyAlignment="1">
      <alignment horizontal="left" vertical="center"/>
    </xf>
    <xf numFmtId="0" fontId="89" fillId="2" borderId="0" xfId="0" applyFont="1" applyFill="1" applyAlignment="1">
      <alignment horizontal="left" vertical="center"/>
    </xf>
    <xf numFmtId="0" fontId="11" fillId="2" borderId="0" xfId="0" applyFont="1" applyFill="1"/>
    <xf numFmtId="0" fontId="91" fillId="2" borderId="0" xfId="0" applyFont="1" applyFill="1" applyAlignment="1">
      <alignment horizontal="center" vertical="center"/>
    </xf>
    <xf numFmtId="0" fontId="84" fillId="2" borderId="0" xfId="6" applyFont="1" applyFill="1" applyAlignment="1">
      <alignment horizontal="center"/>
    </xf>
    <xf numFmtId="0" fontId="92" fillId="2" borderId="0" xfId="23" applyFont="1" applyFill="1" applyAlignment="1">
      <alignment vertical="center"/>
    </xf>
    <xf numFmtId="0" fontId="23" fillId="2" borderId="0" xfId="0" applyFont="1" applyFill="1" applyAlignment="1">
      <alignment vertical="center"/>
    </xf>
    <xf numFmtId="0" fontId="2" fillId="2" borderId="0" xfId="0" applyFont="1" applyFill="1" applyBorder="1" applyAlignment="1">
      <alignment horizontal="left"/>
    </xf>
    <xf numFmtId="0" fontId="30" fillId="2" borderId="0" xfId="0" applyFont="1" applyFill="1" applyBorder="1" applyAlignment="1">
      <alignment horizontal="center"/>
    </xf>
    <xf numFmtId="168" fontId="30" fillId="2" borderId="0" xfId="0" applyNumberFormat="1" applyFont="1" applyFill="1" applyBorder="1"/>
    <xf numFmtId="2" fontId="30" fillId="2" borderId="0" xfId="0" applyNumberFormat="1" applyFont="1" applyFill="1" applyBorder="1"/>
    <xf numFmtId="172" fontId="30" fillId="2" borderId="0" xfId="0" applyNumberFormat="1" applyFont="1" applyFill="1" applyBorder="1"/>
    <xf numFmtId="169" fontId="30" fillId="2" borderId="0" xfId="8" applyNumberFormat="1" applyFont="1" applyFill="1" applyBorder="1"/>
    <xf numFmtId="169" fontId="30" fillId="2" borderId="0" xfId="0" applyNumberFormat="1" applyFont="1" applyFill="1" applyBorder="1"/>
    <xf numFmtId="165" fontId="30" fillId="2" borderId="0" xfId="8" applyFont="1" applyFill="1" applyBorder="1"/>
    <xf numFmtId="0" fontId="30" fillId="2" borderId="0" xfId="0" applyFont="1" applyFill="1" applyBorder="1"/>
    <xf numFmtId="3" fontId="30" fillId="2" borderId="0" xfId="0" applyNumberFormat="1" applyFont="1" applyFill="1" applyBorder="1"/>
    <xf numFmtId="3" fontId="30" fillId="2" borderId="0" xfId="0" applyNumberFormat="1" applyFont="1" applyFill="1" applyBorder="1" applyAlignment="1">
      <alignment horizontal="right"/>
    </xf>
    <xf numFmtId="0" fontId="0" fillId="2" borderId="0" xfId="0" applyFill="1" applyBorder="1"/>
    <xf numFmtId="172" fontId="2" fillId="2" borderId="93" xfId="0" applyNumberFormat="1" applyFont="1" applyFill="1" applyBorder="1"/>
    <xf numFmtId="172" fontId="27" fillId="2" borderId="93" xfId="0" applyNumberFormat="1" applyFont="1" applyFill="1" applyBorder="1"/>
    <xf numFmtId="0" fontId="2" fillId="2" borderId="93" xfId="0" applyFont="1" applyFill="1" applyBorder="1"/>
    <xf numFmtId="169" fontId="27" fillId="2" borderId="93" xfId="8" applyNumberFormat="1" applyFont="1" applyFill="1" applyBorder="1"/>
    <xf numFmtId="0" fontId="2" fillId="2" borderId="93" xfId="0" applyFont="1" applyFill="1" applyBorder="1" applyAlignment="1">
      <alignment horizontal="center"/>
    </xf>
    <xf numFmtId="172" fontId="2" fillId="2" borderId="93" xfId="0" applyNumberFormat="1" applyFont="1" applyFill="1" applyBorder="1" applyAlignment="1">
      <alignment horizontal="center"/>
    </xf>
    <xf numFmtId="2" fontId="2" fillId="2" borderId="23" xfId="0" applyNumberFormat="1" applyFont="1" applyFill="1" applyBorder="1" applyAlignment="1">
      <alignment horizontal="center"/>
    </xf>
    <xf numFmtId="0" fontId="30" fillId="2" borderId="0" xfId="0" applyFont="1" applyFill="1" applyBorder="1" applyAlignment="1">
      <alignment horizontal="center" vertical="center"/>
    </xf>
    <xf numFmtId="2" fontId="30" fillId="2" borderId="0" xfId="0" applyNumberFormat="1" applyFont="1" applyFill="1" applyBorder="1" applyAlignment="1">
      <alignment horizontal="center" vertical="center"/>
    </xf>
    <xf numFmtId="0" fontId="30" fillId="2" borderId="83" xfId="0" applyFont="1" applyFill="1" applyBorder="1" applyAlignment="1">
      <alignment horizontal="center" vertical="center"/>
    </xf>
    <xf numFmtId="2" fontId="30" fillId="2" borderId="100" xfId="0" applyNumberFormat="1" applyFont="1" applyFill="1" applyBorder="1" applyAlignment="1">
      <alignment horizontal="center" vertical="center"/>
    </xf>
    <xf numFmtId="0" fontId="30" fillId="2" borderId="105" xfId="0" applyFont="1" applyFill="1" applyBorder="1" applyAlignment="1">
      <alignment horizontal="center" vertical="center"/>
    </xf>
    <xf numFmtId="2" fontId="30" fillId="2" borderId="106" xfId="0" applyNumberFormat="1" applyFont="1" applyFill="1" applyBorder="1" applyAlignment="1">
      <alignment horizontal="center" vertical="center"/>
    </xf>
    <xf numFmtId="1" fontId="26" fillId="2" borderId="0" xfId="0" applyNumberFormat="1" applyFont="1" applyFill="1" applyAlignment="1">
      <alignment vertical="center"/>
    </xf>
    <xf numFmtId="0" fontId="32" fillId="2" borderId="0" xfId="0" applyFont="1" applyFill="1" applyAlignment="1">
      <alignment vertical="center"/>
    </xf>
    <xf numFmtId="166" fontId="34" fillId="2" borderId="93" xfId="8" applyNumberFormat="1" applyFont="1" applyFill="1" applyBorder="1" applyAlignment="1">
      <alignment horizontal="right" vertical="center"/>
    </xf>
    <xf numFmtId="0" fontId="34" fillId="2" borderId="93" xfId="0" applyFont="1" applyFill="1" applyBorder="1" applyAlignment="1">
      <alignment horizontal="left" vertical="center" indent="1"/>
    </xf>
    <xf numFmtId="165" fontId="26" fillId="2" borderId="93" xfId="8" applyFont="1" applyFill="1" applyBorder="1" applyAlignment="1">
      <alignment horizontal="right" vertical="center"/>
    </xf>
    <xf numFmtId="3" fontId="26" fillId="2" borderId="93" xfId="8" applyNumberFormat="1" applyFont="1" applyFill="1" applyBorder="1" applyAlignment="1">
      <alignment horizontal="right" vertical="center"/>
    </xf>
    <xf numFmtId="166" fontId="26" fillId="2" borderId="93" xfId="8" applyNumberFormat="1" applyFont="1" applyFill="1" applyBorder="1" applyAlignment="1">
      <alignment horizontal="right" vertical="center"/>
    </xf>
    <xf numFmtId="0" fontId="26" fillId="2" borderId="93" xfId="0" applyFont="1" applyFill="1" applyBorder="1" applyAlignment="1">
      <alignment horizontal="left" vertical="center" indent="2"/>
    </xf>
    <xf numFmtId="3" fontId="26" fillId="2" borderId="93" xfId="0" applyNumberFormat="1" applyFont="1" applyFill="1" applyBorder="1" applyAlignment="1">
      <alignment horizontal="right" vertical="center"/>
    </xf>
    <xf numFmtId="0" fontId="26" fillId="2" borderId="93" xfId="0" applyFont="1" applyFill="1" applyBorder="1" applyAlignment="1">
      <alignment horizontal="right" vertical="center"/>
    </xf>
    <xf numFmtId="0" fontId="79" fillId="2" borderId="93" xfId="0" applyFont="1" applyFill="1" applyBorder="1" applyAlignment="1">
      <alignment horizontal="left" vertical="center" indent="1"/>
    </xf>
    <xf numFmtId="0" fontId="28" fillId="2" borderId="93" xfId="0" applyFont="1" applyFill="1" applyBorder="1" applyAlignment="1">
      <alignment vertical="center"/>
    </xf>
    <xf numFmtId="0" fontId="15" fillId="2" borderId="0" xfId="0" applyFont="1" applyFill="1" applyAlignment="1">
      <alignment horizontal="center" vertical="center"/>
    </xf>
    <xf numFmtId="37" fontId="26" fillId="2" borderId="0" xfId="0" applyNumberFormat="1" applyFont="1" applyFill="1" applyAlignment="1">
      <alignment vertical="center"/>
    </xf>
    <xf numFmtId="37" fontId="32" fillId="2" borderId="4" xfId="24" applyNumberFormat="1" applyFont="1" applyFill="1" applyBorder="1" applyAlignment="1">
      <alignment vertical="center"/>
    </xf>
    <xf numFmtId="166" fontId="34" fillId="2" borderId="4" xfId="24" applyNumberFormat="1" applyFont="1" applyFill="1" applyBorder="1" applyAlignment="1">
      <alignment horizontal="center" vertical="center"/>
    </xf>
    <xf numFmtId="166" fontId="28" fillId="2" borderId="4" xfId="24" applyNumberFormat="1" applyFont="1" applyFill="1" applyBorder="1" applyAlignment="1">
      <alignment horizontal="center" vertical="center"/>
    </xf>
    <xf numFmtId="37" fontId="26" fillId="2" borderId="4" xfId="24" applyNumberFormat="1" applyFont="1" applyFill="1" applyBorder="1" applyAlignment="1">
      <alignment vertical="center"/>
    </xf>
    <xf numFmtId="166" fontId="34" fillId="2" borderId="4" xfId="8" applyNumberFormat="1" applyFont="1" applyFill="1" applyBorder="1" applyAlignment="1">
      <alignment horizontal="center" vertical="center"/>
    </xf>
    <xf numFmtId="0" fontId="34" fillId="2" borderId="4" xfId="0" applyFont="1" applyFill="1" applyBorder="1" applyAlignment="1">
      <alignment horizontal="left" vertical="center" indent="1"/>
    </xf>
    <xf numFmtId="166" fontId="26" fillId="2" borderId="4" xfId="24" applyNumberFormat="1" applyFont="1" applyFill="1" applyBorder="1" applyAlignment="1">
      <alignment vertical="center"/>
    </xf>
    <xf numFmtId="0" fontId="79" fillId="2" borderId="4" xfId="0" applyFont="1" applyFill="1" applyBorder="1" applyAlignment="1">
      <alignment horizontal="left" vertical="center" indent="1"/>
    </xf>
    <xf numFmtId="166" fontId="34" fillId="2" borderId="4" xfId="8" applyNumberFormat="1" applyFont="1" applyFill="1" applyBorder="1" applyAlignment="1">
      <alignment vertical="center"/>
    </xf>
    <xf numFmtId="0" fontId="15" fillId="2" borderId="0" xfId="0" applyFont="1" applyFill="1" applyAlignment="1">
      <alignment horizontal="right" vertical="center"/>
    </xf>
    <xf numFmtId="0" fontId="1" fillId="2" borderId="0" xfId="25" applyFill="1"/>
    <xf numFmtId="0" fontId="37" fillId="2" borderId="0" xfId="25" applyFont="1" applyFill="1"/>
    <xf numFmtId="167" fontId="37" fillId="2" borderId="0" xfId="25" applyNumberFormat="1" applyFont="1" applyFill="1"/>
    <xf numFmtId="0" fontId="37" fillId="2" borderId="0" xfId="25" applyFont="1" applyFill="1" applyAlignment="1">
      <alignment horizontal="center"/>
    </xf>
    <xf numFmtId="0" fontId="37" fillId="2" borderId="92" xfId="28" applyFont="1" applyFill="1" applyBorder="1" applyAlignment="1">
      <alignment horizontal="center"/>
    </xf>
    <xf numFmtId="166" fontId="37" fillId="2" borderId="92" xfId="27" applyNumberFormat="1" applyFont="1" applyFill="1" applyBorder="1" applyAlignment="1">
      <alignment horizontal="center"/>
    </xf>
    <xf numFmtId="0" fontId="35" fillId="2" borderId="7" xfId="25" applyFont="1" applyFill="1" applyBorder="1" applyAlignment="1">
      <alignment horizontal="center" vertical="center"/>
    </xf>
    <xf numFmtId="0" fontId="35" fillId="2" borderId="14" xfId="25" applyFont="1" applyFill="1" applyBorder="1" applyAlignment="1">
      <alignment horizontal="center" vertical="center" wrapText="1"/>
    </xf>
    <xf numFmtId="0" fontId="35" fillId="2" borderId="7" xfId="25" applyFont="1" applyFill="1" applyBorder="1" applyAlignment="1">
      <alignment horizontal="center" vertical="center" wrapText="1"/>
    </xf>
    <xf numFmtId="0" fontId="35" fillId="2" borderId="14" xfId="25" applyFont="1" applyFill="1" applyBorder="1" applyAlignment="1">
      <alignment horizontal="center" vertical="center"/>
    </xf>
    <xf numFmtId="0" fontId="35" fillId="2" borderId="0" xfId="25" applyFont="1" applyFill="1"/>
    <xf numFmtId="0" fontId="15" fillId="2" borderId="0" xfId="0" applyFont="1" applyFill="1" applyAlignment="1">
      <alignment horizontal="right"/>
    </xf>
    <xf numFmtId="0" fontId="13" fillId="2" borderId="0" xfId="1" applyFont="1" applyFill="1" applyAlignment="1">
      <alignment horizontal="right"/>
    </xf>
    <xf numFmtId="0" fontId="13" fillId="2" borderId="0" xfId="13" applyFont="1" applyFill="1" applyAlignment="1">
      <alignment horizontal="center"/>
    </xf>
    <xf numFmtId="0" fontId="13" fillId="2" borderId="0" xfId="13" applyFont="1" applyFill="1" applyAlignment="1">
      <alignment horizontal="right"/>
    </xf>
    <xf numFmtId="0" fontId="26" fillId="2" borderId="0" xfId="0" applyFont="1" applyFill="1" applyAlignment="1">
      <alignment vertical="center"/>
    </xf>
    <xf numFmtId="168" fontId="2" fillId="2" borderId="0" xfId="1" applyNumberFormat="1" applyFont="1" applyFill="1" applyAlignment="1">
      <alignment horizontal="left" vertical="top" wrapText="1"/>
    </xf>
    <xf numFmtId="0" fontId="35" fillId="2" borderId="0" xfId="0" applyFont="1" applyFill="1" applyAlignment="1">
      <alignment horizontal="center"/>
    </xf>
    <xf numFmtId="0" fontId="15" fillId="2" borderId="1" xfId="0" applyFont="1" applyFill="1" applyBorder="1" applyAlignment="1">
      <alignment horizontal="center" vertical="center" wrapText="1"/>
    </xf>
    <xf numFmtId="0" fontId="26" fillId="2" borderId="0" xfId="0" applyFont="1" applyFill="1"/>
    <xf numFmtId="0" fontId="13" fillId="2" borderId="0" xfId="1" applyFont="1" applyFill="1" applyAlignment="1">
      <alignment horizontal="center"/>
    </xf>
    <xf numFmtId="0" fontId="13" fillId="2" borderId="7" xfId="0" applyFont="1" applyFill="1" applyBorder="1" applyAlignment="1">
      <alignment horizontal="center"/>
    </xf>
    <xf numFmtId="3" fontId="9" fillId="2" borderId="93" xfId="5" applyNumberFormat="1" applyFont="1" applyFill="1" applyBorder="1"/>
    <xf numFmtId="37" fontId="26" fillId="2" borderId="4" xfId="30" applyNumberFormat="1" applyFont="1" applyFill="1" applyBorder="1" applyAlignment="1">
      <alignment vertical="center"/>
    </xf>
    <xf numFmtId="37" fontId="32" fillId="2" borderId="4" xfId="30" applyNumberFormat="1" applyFont="1" applyFill="1" applyBorder="1" applyAlignment="1">
      <alignment vertical="center"/>
    </xf>
    <xf numFmtId="0" fontId="13" fillId="2" borderId="15" xfId="1" applyFont="1" applyFill="1" applyBorder="1" applyAlignment="1">
      <alignment horizontal="center"/>
    </xf>
    <xf numFmtId="3" fontId="50" fillId="2" borderId="93" xfId="1" applyNumberFormat="1" applyFont="1" applyFill="1" applyBorder="1"/>
    <xf numFmtId="3" fontId="30" fillId="2" borderId="93" xfId="1" applyNumberFormat="1" applyFont="1" applyFill="1" applyBorder="1" applyAlignment="1">
      <alignment horizontal="right"/>
    </xf>
    <xf numFmtId="3" fontId="30" fillId="2" borderId="93" xfId="1" applyNumberFormat="1" applyFont="1" applyFill="1" applyBorder="1" applyAlignment="1">
      <alignment horizontal="right" vertical="center"/>
    </xf>
    <xf numFmtId="0" fontId="2" fillId="2" borderId="107" xfId="1" applyFont="1" applyFill="1" applyBorder="1"/>
    <xf numFmtId="166" fontId="32" fillId="2" borderId="29" xfId="8" applyNumberFormat="1" applyFont="1" applyFill="1" applyBorder="1" applyAlignment="1">
      <alignment horizontal="right"/>
    </xf>
    <xf numFmtId="0" fontId="1" fillId="2" borderId="0" xfId="28" applyFill="1"/>
    <xf numFmtId="0" fontId="38" fillId="2" borderId="0" xfId="28" applyFont="1" applyFill="1"/>
    <xf numFmtId="0" fontId="26" fillId="2" borderId="0" xfId="26" applyFont="1" applyFill="1" applyAlignment="1">
      <alignment horizontal="left" vertical="center"/>
    </xf>
    <xf numFmtId="0" fontId="55" fillId="2" borderId="0" xfId="28" applyFont="1" applyFill="1"/>
    <xf numFmtId="167" fontId="55" fillId="2" borderId="0" xfId="28" applyNumberFormat="1" applyFont="1" applyFill="1"/>
    <xf numFmtId="0" fontId="2" fillId="2" borderId="0" xfId="28" applyFont="1" applyFill="1"/>
    <xf numFmtId="167" fontId="2" fillId="2" borderId="0" xfId="28" applyNumberFormat="1" applyFont="1" applyFill="1"/>
    <xf numFmtId="167" fontId="1" fillId="2" borderId="0" xfId="28" applyNumberFormat="1" applyFill="1"/>
    <xf numFmtId="0" fontId="1" fillId="2" borderId="0" xfId="26" applyFill="1"/>
    <xf numFmtId="167" fontId="38" fillId="2" borderId="0" xfId="28" applyNumberFormat="1" applyFont="1" applyFill="1"/>
    <xf numFmtId="167" fontId="1" fillId="2" borderId="0" xfId="26" applyNumberFormat="1" applyFill="1"/>
    <xf numFmtId="0" fontId="37" fillId="2" borderId="0" xfId="26" applyFont="1" applyFill="1"/>
    <xf numFmtId="167" fontId="37" fillId="2" borderId="0" xfId="26" applyNumberFormat="1" applyFont="1" applyFill="1"/>
    <xf numFmtId="0" fontId="37" fillId="2" borderId="0" xfId="28" applyFont="1" applyFill="1"/>
    <xf numFmtId="167" fontId="37" fillId="2" borderId="0" xfId="28" applyNumberFormat="1" applyFont="1" applyFill="1"/>
    <xf numFmtId="3" fontId="37" fillId="2" borderId="0" xfId="28" applyNumberFormat="1" applyFont="1" applyFill="1" applyAlignment="1">
      <alignment horizontal="center"/>
    </xf>
    <xf numFmtId="0" fontId="37" fillId="2" borderId="0" xfId="28" applyFont="1" applyFill="1" applyAlignment="1">
      <alignment horizontal="center"/>
    </xf>
    <xf numFmtId="0" fontId="37" fillId="2" borderId="0" xfId="26" applyFont="1" applyFill="1" applyAlignment="1">
      <alignment horizontal="center"/>
    </xf>
    <xf numFmtId="166" fontId="35" fillId="2" borderId="7" xfId="27" applyNumberFormat="1" applyFont="1" applyFill="1" applyBorder="1" applyAlignment="1">
      <alignment horizontal="right" vertical="center"/>
    </xf>
    <xf numFmtId="0" fontId="35" fillId="2" borderId="7" xfId="28" applyFont="1" applyFill="1" applyBorder="1" applyAlignment="1">
      <alignment horizontal="center" vertical="center"/>
    </xf>
    <xf numFmtId="166" fontId="35" fillId="2" borderId="7" xfId="27" applyNumberFormat="1" applyFont="1" applyFill="1" applyBorder="1" applyAlignment="1">
      <alignment horizontal="right"/>
    </xf>
    <xf numFmtId="0" fontId="35" fillId="2" borderId="7" xfId="28" applyFont="1" applyFill="1" applyBorder="1" applyAlignment="1">
      <alignment horizontal="center"/>
    </xf>
    <xf numFmtId="0" fontId="35" fillId="2" borderId="7" xfId="26" applyFont="1" applyFill="1" applyBorder="1" applyAlignment="1">
      <alignment horizontal="center"/>
    </xf>
    <xf numFmtId="167" fontId="35" fillId="2" borderId="93" xfId="27" applyNumberFormat="1" applyFont="1" applyFill="1" applyBorder="1" applyAlignment="1">
      <alignment horizontal="right"/>
    </xf>
    <xf numFmtId="167" fontId="37" fillId="2" borderId="92" xfId="27" applyNumberFormat="1" applyFont="1" applyFill="1" applyBorder="1" applyAlignment="1">
      <alignment horizontal="right"/>
    </xf>
    <xf numFmtId="167" fontId="35" fillId="2" borderId="93" xfId="32" applyNumberFormat="1" applyFont="1" applyFill="1" applyBorder="1" applyAlignment="1">
      <alignment horizontal="right"/>
    </xf>
    <xf numFmtId="166" fontId="37" fillId="2" borderId="92" xfId="32" applyNumberFormat="1" applyFont="1" applyFill="1" applyBorder="1" applyAlignment="1">
      <alignment horizontal="center"/>
    </xf>
    <xf numFmtId="0" fontId="37" fillId="2" borderId="93" xfId="28" applyFont="1" applyFill="1" applyBorder="1" applyAlignment="1">
      <alignment horizontal="center"/>
    </xf>
    <xf numFmtId="167" fontId="37" fillId="2" borderId="93" xfId="27" applyNumberFormat="1" applyFont="1" applyFill="1" applyBorder="1" applyAlignment="1">
      <alignment horizontal="right"/>
    </xf>
    <xf numFmtId="166" fontId="37" fillId="2" borderId="93" xfId="27" applyNumberFormat="1" applyFont="1" applyFill="1" applyBorder="1" applyAlignment="1">
      <alignment horizontal="center"/>
    </xf>
    <xf numFmtId="3" fontId="55" fillId="2" borderId="93" xfId="28" applyNumberFormat="1" applyFont="1" applyFill="1" applyBorder="1"/>
    <xf numFmtId="3" fontId="1" fillId="2" borderId="93" xfId="28" applyNumberFormat="1" applyFill="1" applyBorder="1"/>
    <xf numFmtId="3" fontId="2" fillId="2" borderId="93" xfId="28" applyNumberFormat="1" applyFont="1" applyFill="1" applyBorder="1"/>
    <xf numFmtId="41" fontId="37" fillId="2" borderId="92" xfId="27" applyNumberFormat="1" applyFont="1" applyFill="1" applyBorder="1" applyAlignment="1">
      <alignment horizontal="right"/>
    </xf>
    <xf numFmtId="166" fontId="37" fillId="2" borderId="93" xfId="32" applyNumberFormat="1" applyFont="1" applyFill="1" applyBorder="1" applyAlignment="1">
      <alignment horizontal="center"/>
    </xf>
    <xf numFmtId="0" fontId="35" fillId="2" borderId="93" xfId="28" applyFont="1" applyFill="1" applyBorder="1" applyAlignment="1">
      <alignment horizontal="center"/>
    </xf>
    <xf numFmtId="0" fontId="37" fillId="2" borderId="5" xfId="28" applyFont="1" applyFill="1" applyBorder="1" applyAlignment="1">
      <alignment horizontal="center"/>
    </xf>
    <xf numFmtId="0" fontId="37" fillId="2" borderId="93" xfId="28" applyFont="1" applyFill="1" applyBorder="1"/>
    <xf numFmtId="0" fontId="37" fillId="2" borderId="5" xfId="26" applyFont="1" applyFill="1" applyBorder="1" applyAlignment="1">
      <alignment horizontal="center"/>
    </xf>
    <xf numFmtId="0" fontId="35" fillId="2" borderId="14" xfId="28" applyFont="1" applyFill="1" applyBorder="1" applyAlignment="1">
      <alignment horizontal="center" vertical="center" wrapText="1"/>
    </xf>
    <xf numFmtId="0" fontId="35" fillId="2" borderId="7" xfId="28" applyFont="1" applyFill="1" applyBorder="1" applyAlignment="1">
      <alignment horizontal="center" vertical="center" wrapText="1"/>
    </xf>
    <xf numFmtId="0" fontId="35" fillId="2" borderId="14" xfId="28" applyFont="1" applyFill="1" applyBorder="1" applyAlignment="1">
      <alignment horizontal="center" vertical="center"/>
    </xf>
    <xf numFmtId="0" fontId="35" fillId="2" borderId="7" xfId="26" applyFont="1" applyFill="1" applyBorder="1" applyAlignment="1">
      <alignment horizontal="center" vertical="center"/>
    </xf>
    <xf numFmtId="0" fontId="35" fillId="2" borderId="14" xfId="26" applyFont="1" applyFill="1" applyBorder="1" applyAlignment="1">
      <alignment horizontal="center" vertical="center" wrapText="1"/>
    </xf>
    <xf numFmtId="0" fontId="35" fillId="2" borderId="7" xfId="26" applyFont="1" applyFill="1" applyBorder="1" applyAlignment="1">
      <alignment horizontal="center" vertical="center" wrapText="1"/>
    </xf>
    <xf numFmtId="0" fontId="35" fillId="2" borderId="14" xfId="26" applyFont="1" applyFill="1" applyBorder="1" applyAlignment="1">
      <alignment horizontal="center" vertical="center"/>
    </xf>
    <xf numFmtId="0" fontId="35" fillId="2" borderId="0" xfId="28" applyFont="1" applyFill="1"/>
    <xf numFmtId="0" fontId="35" fillId="2" borderId="0" xfId="26" applyFont="1" applyFill="1"/>
    <xf numFmtId="0" fontId="85" fillId="2" borderId="0" xfId="0" applyFont="1" applyFill="1" applyAlignment="1">
      <alignment horizontal="left" vertical="center"/>
    </xf>
    <xf numFmtId="0" fontId="14" fillId="2" borderId="0" xfId="0" applyFont="1" applyFill="1" applyAlignment="1">
      <alignment horizontal="center" vertical="center"/>
    </xf>
    <xf numFmtId="0" fontId="14" fillId="2" borderId="0" xfId="0" applyFont="1" applyFill="1" applyAlignment="1">
      <alignment horizontal="left" vertical="center"/>
    </xf>
    <xf numFmtId="0" fontId="11" fillId="2" borderId="0" xfId="0" applyFont="1" applyFill="1" applyAlignment="1">
      <alignment horizontal="center" vertical="center"/>
    </xf>
    <xf numFmtId="0" fontId="89" fillId="2" borderId="0" xfId="0" applyFont="1" applyFill="1" applyAlignment="1">
      <alignment horizontal="center" vertical="center"/>
    </xf>
    <xf numFmtId="171" fontId="15" fillId="0" borderId="91" xfId="0" applyNumberFormat="1" applyFont="1" applyBorder="1" applyAlignment="1">
      <alignment horizontal="center" vertical="center" wrapText="1"/>
    </xf>
    <xf numFmtId="0" fontId="26" fillId="2" borderId="0" xfId="0" applyFont="1" applyFill="1"/>
    <xf numFmtId="0" fontId="13" fillId="2" borderId="7" xfId="0" applyFont="1" applyFill="1" applyBorder="1" applyAlignment="1">
      <alignment horizontal="center"/>
    </xf>
    <xf numFmtId="0" fontId="0" fillId="2" borderId="108" xfId="0" applyFill="1" applyBorder="1"/>
    <xf numFmtId="0" fontId="37" fillId="2" borderId="0" xfId="0" applyFont="1" applyFill="1" applyAlignment="1">
      <alignment horizontal="left" vertical="center"/>
    </xf>
    <xf numFmtId="0" fontId="31" fillId="2" borderId="0" xfId="0" applyFont="1" applyFill="1" applyAlignment="1">
      <alignment horizontal="left" vertical="center"/>
    </xf>
    <xf numFmtId="167" fontId="0" fillId="2" borderId="0" xfId="0" applyNumberFormat="1" applyFill="1"/>
    <xf numFmtId="166" fontId="0" fillId="2" borderId="0" xfId="0" applyNumberFormat="1" applyFill="1"/>
    <xf numFmtId="0" fontId="35" fillId="2" borderId="1" xfId="0" applyFont="1" applyFill="1" applyBorder="1" applyAlignment="1">
      <alignment horizontal="center"/>
    </xf>
    <xf numFmtId="167" fontId="35" fillId="2" borderId="1" xfId="32" applyNumberFormat="1" applyFont="1" applyFill="1" applyBorder="1" applyAlignment="1">
      <alignment horizontal="right"/>
    </xf>
    <xf numFmtId="167" fontId="37" fillId="2" borderId="9" xfId="32" applyNumberFormat="1" applyFont="1" applyFill="1" applyBorder="1" applyAlignment="1">
      <alignment horizontal="right"/>
    </xf>
    <xf numFmtId="167" fontId="37" fillId="2" borderId="1" xfId="32" applyNumberFormat="1" applyFont="1" applyFill="1" applyBorder="1" applyAlignment="1">
      <alignment horizontal="right"/>
    </xf>
    <xf numFmtId="0" fontId="0" fillId="2" borderId="1" xfId="0" applyFill="1" applyBorder="1"/>
    <xf numFmtId="0" fontId="37" fillId="2" borderId="4" xfId="0" applyFont="1" applyFill="1" applyBorder="1" applyAlignment="1">
      <alignment horizontal="center"/>
    </xf>
    <xf numFmtId="167" fontId="35" fillId="2" borderId="4" xfId="32" applyNumberFormat="1" applyFont="1" applyFill="1" applyBorder="1" applyAlignment="1">
      <alignment horizontal="right"/>
    </xf>
    <xf numFmtId="167" fontId="37" fillId="2" borderId="3" xfId="32" applyNumberFormat="1" applyFont="1" applyFill="1" applyBorder="1" applyAlignment="1">
      <alignment horizontal="right"/>
    </xf>
    <xf numFmtId="167" fontId="37" fillId="2" borderId="4" xfId="32" applyNumberFormat="1" applyFont="1" applyFill="1" applyBorder="1" applyAlignment="1">
      <alignment horizontal="right"/>
    </xf>
    <xf numFmtId="165" fontId="35" fillId="2" borderId="4" xfId="32" applyFont="1" applyFill="1" applyBorder="1" applyAlignment="1">
      <alignment horizontal="right"/>
    </xf>
    <xf numFmtId="0" fontId="1" fillId="2" borderId="0" xfId="33" applyFill="1"/>
    <xf numFmtId="0" fontId="37" fillId="2" borderId="5" xfId="0" applyFont="1" applyFill="1" applyBorder="1" applyAlignment="1">
      <alignment horizontal="center"/>
    </xf>
    <xf numFmtId="0" fontId="37" fillId="2" borderId="4" xfId="0" applyFont="1" applyFill="1" applyBorder="1"/>
    <xf numFmtId="0" fontId="35" fillId="2" borderId="4" xfId="0" applyFont="1" applyFill="1" applyBorder="1" applyAlignment="1">
      <alignment horizontal="center"/>
    </xf>
    <xf numFmtId="0" fontId="37" fillId="2" borderId="3" xfId="0" applyFont="1" applyFill="1" applyBorder="1" applyAlignment="1">
      <alignment horizontal="center"/>
    </xf>
    <xf numFmtId="167" fontId="1" fillId="2" borderId="0" xfId="33" applyNumberFormat="1" applyFill="1"/>
    <xf numFmtId="0" fontId="35" fillId="2" borderId="7" xfId="0" applyFont="1" applyFill="1" applyBorder="1" applyAlignment="1">
      <alignment horizontal="center" vertical="center"/>
    </xf>
    <xf numFmtId="0" fontId="35" fillId="2" borderId="7" xfId="0" applyFont="1" applyFill="1" applyBorder="1" applyAlignment="1">
      <alignment horizontal="center" vertical="center" wrapText="1"/>
    </xf>
    <xf numFmtId="0" fontId="35" fillId="2" borderId="0" xfId="0" applyFont="1" applyFill="1"/>
    <xf numFmtId="167" fontId="37" fillId="2" borderId="0" xfId="33" applyNumberFormat="1" applyFont="1" applyFill="1"/>
    <xf numFmtId="0" fontId="37" fillId="2" borderId="0" xfId="33" applyFont="1" applyFill="1"/>
    <xf numFmtId="0" fontId="37" fillId="2" borderId="0" xfId="33" applyFont="1" applyFill="1" applyAlignment="1">
      <alignment horizontal="center"/>
    </xf>
    <xf numFmtId="167" fontId="37" fillId="2" borderId="0" xfId="0" applyNumberFormat="1" applyFont="1" applyFill="1"/>
    <xf numFmtId="0" fontId="35" fillId="2" borderId="7" xfId="33" applyFont="1" applyFill="1" applyBorder="1" applyAlignment="1">
      <alignment horizontal="center"/>
    </xf>
    <xf numFmtId="0" fontId="35" fillId="2" borderId="7" xfId="0" applyFont="1" applyFill="1" applyBorder="1" applyAlignment="1">
      <alignment horizontal="center"/>
    </xf>
    <xf numFmtId="167" fontId="35" fillId="2" borderId="7" xfId="32" applyNumberFormat="1" applyFont="1" applyFill="1" applyBorder="1" applyAlignment="1">
      <alignment horizontal="right"/>
    </xf>
    <xf numFmtId="0" fontId="37" fillId="2" borderId="3" xfId="28" applyFont="1" applyFill="1" applyBorder="1" applyAlignment="1">
      <alignment horizontal="center"/>
    </xf>
    <xf numFmtId="0" fontId="37" fillId="2" borderId="3" xfId="26" applyFont="1" applyFill="1" applyBorder="1" applyAlignment="1">
      <alignment horizontal="center"/>
    </xf>
    <xf numFmtId="0" fontId="37" fillId="2" borderId="3" xfId="33" applyFont="1" applyFill="1" applyBorder="1" applyAlignment="1">
      <alignment horizontal="center"/>
    </xf>
    <xf numFmtId="166" fontId="37" fillId="2" borderId="9" xfId="32" applyNumberFormat="1" applyFont="1" applyFill="1" applyBorder="1" applyAlignment="1">
      <alignment horizontal="center"/>
    </xf>
    <xf numFmtId="166" fontId="37" fillId="2" borderId="1" xfId="32" applyNumberFormat="1" applyFont="1" applyFill="1" applyBorder="1" applyAlignment="1">
      <alignment horizontal="center"/>
    </xf>
    <xf numFmtId="0" fontId="37" fillId="2" borderId="1" xfId="0" applyFont="1" applyFill="1" applyBorder="1" applyAlignment="1">
      <alignment horizontal="center"/>
    </xf>
    <xf numFmtId="166" fontId="37" fillId="2" borderId="3" xfId="32" applyNumberFormat="1" applyFont="1" applyFill="1" applyBorder="1" applyAlignment="1">
      <alignment horizontal="center"/>
    </xf>
    <xf numFmtId="166" fontId="37" fillId="2" borderId="4" xfId="32" applyNumberFormat="1" applyFont="1" applyFill="1" applyBorder="1" applyAlignment="1">
      <alignment horizontal="center"/>
    </xf>
    <xf numFmtId="167" fontId="35" fillId="2" borderId="4" xfId="27" applyNumberFormat="1" applyFont="1" applyFill="1" applyBorder="1" applyAlignment="1">
      <alignment horizontal="right"/>
    </xf>
    <xf numFmtId="166" fontId="37" fillId="2" borderId="3" xfId="27" applyNumberFormat="1" applyFont="1" applyFill="1" applyBorder="1" applyAlignment="1">
      <alignment horizontal="center"/>
    </xf>
    <xf numFmtId="0" fontId="37" fillId="2" borderId="4" xfId="28" applyFont="1" applyFill="1" applyBorder="1" applyAlignment="1">
      <alignment horizontal="center"/>
    </xf>
    <xf numFmtId="0" fontId="37" fillId="2" borderId="4" xfId="26" applyFont="1" applyFill="1" applyBorder="1" applyAlignment="1">
      <alignment horizontal="center"/>
    </xf>
    <xf numFmtId="0" fontId="37" fillId="2" borderId="4" xfId="33" applyFont="1" applyFill="1" applyBorder="1" applyAlignment="1">
      <alignment horizontal="center"/>
    </xf>
    <xf numFmtId="166" fontId="37" fillId="2" borderId="4" xfId="27" applyNumberFormat="1" applyFont="1" applyFill="1" applyBorder="1" applyAlignment="1">
      <alignment horizontal="center"/>
    </xf>
    <xf numFmtId="167" fontId="55" fillId="2" borderId="3" xfId="32" applyNumberFormat="1" applyFont="1" applyFill="1" applyBorder="1" applyAlignment="1">
      <alignment horizontal="right"/>
    </xf>
    <xf numFmtId="167" fontId="35" fillId="2" borderId="5" xfId="32" applyNumberFormat="1" applyFont="1" applyFill="1" applyBorder="1" applyAlignment="1">
      <alignment horizontal="right"/>
    </xf>
    <xf numFmtId="0" fontId="35" fillId="2" borderId="4" xfId="28" applyFont="1" applyFill="1" applyBorder="1" applyAlignment="1">
      <alignment horizontal="center"/>
    </xf>
    <xf numFmtId="0" fontId="37" fillId="2" borderId="4" xfId="28" applyFont="1" applyFill="1" applyBorder="1"/>
    <xf numFmtId="0" fontId="35" fillId="2" borderId="4" xfId="26" applyFont="1" applyFill="1" applyBorder="1" applyAlignment="1">
      <alignment horizontal="center"/>
    </xf>
    <xf numFmtId="0" fontId="37" fillId="2" borderId="4" xfId="26" applyFont="1" applyFill="1" applyBorder="1"/>
    <xf numFmtId="0" fontId="35" fillId="2" borderId="7" xfId="33" applyFont="1" applyFill="1" applyBorder="1" applyAlignment="1">
      <alignment horizontal="center" vertical="center"/>
    </xf>
    <xf numFmtId="0" fontId="35" fillId="2" borderId="14" xfId="33" applyFont="1" applyFill="1" applyBorder="1" applyAlignment="1">
      <alignment horizontal="center" vertical="center" wrapText="1"/>
    </xf>
    <xf numFmtId="0" fontId="35" fillId="2" borderId="7" xfId="33" applyFont="1" applyFill="1" applyBorder="1" applyAlignment="1">
      <alignment horizontal="center" vertical="center" wrapText="1"/>
    </xf>
    <xf numFmtId="0" fontId="35" fillId="2" borderId="14" xfId="33" applyFont="1" applyFill="1" applyBorder="1" applyAlignment="1">
      <alignment horizontal="center" vertical="center"/>
    </xf>
    <xf numFmtId="0" fontId="35" fillId="2" borderId="14" xfId="0" applyFont="1" applyFill="1" applyBorder="1" applyAlignment="1">
      <alignment horizontal="center" vertical="center" wrapText="1"/>
    </xf>
    <xf numFmtId="0" fontId="35" fillId="2" borderId="14" xfId="0" applyFont="1" applyFill="1" applyBorder="1" applyAlignment="1">
      <alignment horizontal="center" vertical="center"/>
    </xf>
    <xf numFmtId="0" fontId="35" fillId="2" borderId="0" xfId="33" applyFont="1" applyFill="1"/>
    <xf numFmtId="0" fontId="0" fillId="2" borderId="8" xfId="0" applyFill="1" applyBorder="1"/>
    <xf numFmtId="3" fontId="35" fillId="2" borderId="4" xfId="32" applyNumberFormat="1" applyFont="1" applyFill="1" applyBorder="1" applyAlignment="1">
      <alignment horizontal="right"/>
    </xf>
    <xf numFmtId="176" fontId="35" fillId="2" borderId="4" xfId="32" applyNumberFormat="1" applyFont="1" applyFill="1" applyBorder="1" applyAlignment="1">
      <alignment horizontal="right"/>
    </xf>
    <xf numFmtId="167" fontId="37" fillId="2" borderId="0" xfId="32" applyNumberFormat="1" applyFont="1" applyFill="1" applyAlignment="1">
      <alignment horizontal="right"/>
    </xf>
    <xf numFmtId="167" fontId="37" fillId="2" borderId="0" xfId="32" applyNumberFormat="1" applyFont="1" applyFill="1" applyBorder="1" applyAlignment="1">
      <alignment horizontal="right"/>
    </xf>
    <xf numFmtId="0" fontId="35" fillId="2" borderId="9" xfId="0" applyFont="1" applyFill="1" applyBorder="1" applyAlignment="1">
      <alignment horizontal="center"/>
    </xf>
    <xf numFmtId="166" fontId="35" fillId="2" borderId="1" xfId="32" applyNumberFormat="1" applyFont="1" applyFill="1" applyBorder="1" applyAlignment="1">
      <alignment horizontal="center"/>
    </xf>
    <xf numFmtId="166" fontId="35" fillId="2" borderId="9" xfId="32" applyNumberFormat="1" applyFont="1" applyFill="1" applyBorder="1" applyAlignment="1">
      <alignment horizontal="center"/>
    </xf>
    <xf numFmtId="166" fontId="35" fillId="2" borderId="7" xfId="32" applyNumberFormat="1" applyFont="1" applyFill="1" applyBorder="1" applyAlignment="1">
      <alignment horizontal="center"/>
    </xf>
    <xf numFmtId="0" fontId="37" fillId="2" borderId="9" xfId="0" applyFont="1" applyFill="1" applyBorder="1" applyAlignment="1">
      <alignment horizontal="center"/>
    </xf>
    <xf numFmtId="41" fontId="37" fillId="2" borderId="3" xfId="32" applyNumberFormat="1" applyFont="1" applyFill="1" applyBorder="1" applyAlignment="1">
      <alignment horizontal="right"/>
    </xf>
    <xf numFmtId="0" fontId="26" fillId="2" borderId="0" xfId="0" applyFont="1" applyFill="1" applyAlignment="1">
      <alignment vertical="center"/>
    </xf>
    <xf numFmtId="3" fontId="13" fillId="2" borderId="5" xfId="1" applyNumberFormat="1" applyFont="1" applyFill="1" applyBorder="1"/>
    <xf numFmtId="3" fontId="2" fillId="2" borderId="93" xfId="1" applyNumberFormat="1" applyFont="1" applyFill="1" applyBorder="1"/>
    <xf numFmtId="166" fontId="8" fillId="2" borderId="1" xfId="4" applyNumberFormat="1" applyFont="1" applyFill="1" applyBorder="1" applyAlignment="1"/>
    <xf numFmtId="3" fontId="8" fillId="2" borderId="1" xfId="4" applyNumberFormat="1" applyFont="1" applyFill="1" applyBorder="1" applyAlignment="1"/>
    <xf numFmtId="166" fontId="2" fillId="2" borderId="0" xfId="1" applyNumberFormat="1" applyFont="1" applyFill="1"/>
    <xf numFmtId="166" fontId="14" fillId="2" borderId="0" xfId="7" applyNumberFormat="1" applyFont="1" applyFill="1" applyBorder="1"/>
    <xf numFmtId="166" fontId="2" fillId="2" borderId="0" xfId="7" applyNumberFormat="1" applyFont="1" applyFill="1"/>
    <xf numFmtId="0" fontId="30" fillId="2" borderId="7" xfId="0" applyFont="1" applyFill="1" applyBorder="1" applyAlignment="1">
      <alignment horizontal="center"/>
    </xf>
    <xf numFmtId="0" fontId="30" fillId="2" borderId="58" xfId="0" applyFont="1" applyFill="1" applyBorder="1" applyAlignment="1">
      <alignment horizontal="center"/>
    </xf>
    <xf numFmtId="0" fontId="26" fillId="2" borderId="0" xfId="0" applyFont="1" applyFill="1"/>
    <xf numFmtId="0" fontId="13" fillId="2" borderId="0" xfId="1" applyFont="1" applyFill="1" applyAlignment="1">
      <alignment horizontal="center"/>
    </xf>
    <xf numFmtId="37" fontId="26" fillId="2" borderId="93" xfId="30" applyNumberFormat="1" applyFont="1" applyFill="1" applyBorder="1" applyAlignment="1">
      <alignment vertical="center"/>
    </xf>
    <xf numFmtId="0" fontId="35" fillId="2" borderId="0" xfId="0" applyFont="1" applyFill="1" applyAlignment="1">
      <alignment horizontal="center"/>
    </xf>
    <xf numFmtId="0" fontId="37" fillId="2" borderId="0" xfId="0" applyFont="1" applyFill="1" applyAlignment="1">
      <alignment horizontal="center"/>
    </xf>
    <xf numFmtId="0" fontId="37" fillId="2" borderId="0" xfId="26" applyFont="1" applyFill="1" applyAlignment="1">
      <alignment horizontal="left"/>
    </xf>
    <xf numFmtId="0" fontId="37" fillId="2" borderId="0" xfId="26" applyFont="1" applyFill="1" applyAlignment="1">
      <alignment horizontal="left" vertical="center"/>
    </xf>
    <xf numFmtId="0" fontId="27" fillId="2" borderId="0" xfId="3" applyFont="1" applyFill="1" applyAlignment="1">
      <alignment horizontal="left"/>
    </xf>
    <xf numFmtId="0" fontId="11" fillId="2" borderId="0" xfId="0" applyFont="1" applyFill="1" applyAlignment="1">
      <alignment horizontal="left" vertical="top" wrapText="1"/>
    </xf>
    <xf numFmtId="0" fontId="13" fillId="2" borderId="5" xfId="1" applyFont="1" applyFill="1" applyBorder="1" applyAlignment="1">
      <alignment horizontal="center"/>
    </xf>
    <xf numFmtId="3" fontId="55" fillId="2" borderId="4" xfId="1" applyNumberFormat="1" applyFont="1" applyFill="1" applyBorder="1" applyAlignment="1">
      <alignment horizontal="right"/>
    </xf>
    <xf numFmtId="0" fontId="55" fillId="2" borderId="2" xfId="1" applyFont="1" applyFill="1" applyBorder="1" applyAlignment="1">
      <alignment horizontal="right" vertical="center" wrapText="1"/>
    </xf>
    <xf numFmtId="0" fontId="27" fillId="2" borderId="4" xfId="1" applyFont="1" applyFill="1" applyBorder="1" applyAlignment="1">
      <alignment horizontal="right" vertical="center" wrapText="1"/>
    </xf>
    <xf numFmtId="0" fontId="27" fillId="2" borderId="0" xfId="1" applyFont="1" applyFill="1" applyAlignment="1">
      <alignment horizontal="right" vertical="center" wrapText="1"/>
    </xf>
    <xf numFmtId="0" fontId="55" fillId="2" borderId="4" xfId="1" applyFont="1" applyFill="1" applyBorder="1" applyAlignment="1">
      <alignment horizontal="left" indent="2"/>
    </xf>
    <xf numFmtId="3" fontId="55" fillId="2" borderId="2" xfId="1" applyNumberFormat="1" applyFont="1" applyFill="1" applyBorder="1" applyAlignment="1">
      <alignment horizontal="right"/>
    </xf>
    <xf numFmtId="3" fontId="27" fillId="2" borderId="93" xfId="1" applyNumberFormat="1" applyFont="1" applyFill="1" applyBorder="1"/>
    <xf numFmtId="3" fontId="56" fillId="2" borderId="93" xfId="1" applyNumberFormat="1" applyFont="1" applyFill="1" applyBorder="1" applyAlignment="1">
      <alignment horizontal="right"/>
    </xf>
    <xf numFmtId="170" fontId="50" fillId="2" borderId="93" xfId="9" applyNumberFormat="1" applyFont="1" applyFill="1" applyBorder="1"/>
    <xf numFmtId="43" fontId="50" fillId="2" borderId="93" xfId="9" applyFont="1" applyFill="1" applyBorder="1"/>
    <xf numFmtId="3" fontId="50" fillId="2" borderId="93" xfId="5" applyNumberFormat="1" applyFont="1" applyFill="1" applyBorder="1"/>
    <xf numFmtId="43" fontId="30" fillId="2" borderId="93" xfId="9" applyFont="1" applyFill="1" applyBorder="1" applyAlignment="1">
      <alignment horizontal="right"/>
    </xf>
    <xf numFmtId="3" fontId="13" fillId="2" borderId="93" xfId="1" applyNumberFormat="1" applyFont="1" applyFill="1" applyBorder="1"/>
    <xf numFmtId="0" fontId="93" fillId="2" borderId="0" xfId="0" applyFont="1" applyFill="1"/>
    <xf numFmtId="0" fontId="93" fillId="2" borderId="15" xfId="0" applyFont="1" applyFill="1" applyBorder="1"/>
    <xf numFmtId="0" fontId="96" fillId="2" borderId="15" xfId="0" applyFont="1" applyFill="1" applyBorder="1"/>
    <xf numFmtId="0" fontId="96" fillId="2" borderId="0" xfId="0" applyFont="1" applyFill="1"/>
    <xf numFmtId="0" fontId="96" fillId="2" borderId="7" xfId="0" applyFont="1" applyFill="1" applyBorder="1" applyAlignment="1">
      <alignment horizontal="center" vertical="center"/>
    </xf>
    <xf numFmtId="0" fontId="96" fillId="2" borderId="14" xfId="0" applyFont="1" applyFill="1" applyBorder="1" applyAlignment="1">
      <alignment horizontal="center" vertical="center"/>
    </xf>
    <xf numFmtId="0" fontId="96" fillId="2" borderId="14" xfId="0" applyFont="1" applyFill="1" applyBorder="1" applyAlignment="1">
      <alignment horizontal="center" vertical="center" wrapText="1"/>
    </xf>
    <xf numFmtId="0" fontId="93" fillId="2" borderId="3" xfId="0" applyFont="1" applyFill="1" applyBorder="1" applyAlignment="1">
      <alignment vertical="center"/>
    </xf>
    <xf numFmtId="0" fontId="93" fillId="2" borderId="0" xfId="0" applyFont="1" applyFill="1" applyAlignment="1">
      <alignment vertical="center"/>
    </xf>
    <xf numFmtId="0" fontId="93" fillId="2" borderId="4" xfId="0" applyFont="1" applyFill="1" applyBorder="1"/>
    <xf numFmtId="0" fontId="93" fillId="2" borderId="3" xfId="0" applyFont="1" applyFill="1" applyBorder="1" applyAlignment="1">
      <alignment horizontal="center"/>
    </xf>
    <xf numFmtId="0" fontId="93" fillId="2" borderId="4" xfId="0" applyFont="1" applyFill="1" applyBorder="1" applyAlignment="1">
      <alignment horizontal="center"/>
    </xf>
    <xf numFmtId="0" fontId="93" fillId="2" borderId="3" xfId="0" applyFont="1" applyFill="1" applyBorder="1"/>
    <xf numFmtId="0" fontId="93" fillId="2" borderId="5" xfId="0" applyFont="1" applyFill="1" applyBorder="1" applyAlignment="1">
      <alignment horizontal="center"/>
    </xf>
    <xf numFmtId="0" fontId="96" fillId="2" borderId="4" xfId="0" applyFont="1" applyFill="1" applyBorder="1" applyAlignment="1">
      <alignment horizontal="center"/>
    </xf>
    <xf numFmtId="3" fontId="93" fillId="2" borderId="3" xfId="0" applyNumberFormat="1" applyFont="1" applyFill="1" applyBorder="1" applyAlignment="1">
      <alignment horizontal="center"/>
    </xf>
    <xf numFmtId="3" fontId="93" fillId="2" borderId="4" xfId="0" applyNumberFormat="1" applyFont="1" applyFill="1" applyBorder="1" applyAlignment="1">
      <alignment horizontal="center"/>
    </xf>
    <xf numFmtId="3" fontId="96" fillId="2" borderId="4" xfId="0" applyNumberFormat="1" applyFont="1" applyFill="1" applyBorder="1" applyAlignment="1">
      <alignment horizontal="center"/>
    </xf>
    <xf numFmtId="166" fontId="93" fillId="2" borderId="3" xfId="32" applyNumberFormat="1" applyFont="1" applyFill="1" applyBorder="1" applyAlignment="1">
      <alignment horizontal="center"/>
    </xf>
    <xf numFmtId="166" fontId="93" fillId="2" borderId="4" xfId="32" applyNumberFormat="1" applyFont="1" applyFill="1" applyBorder="1" applyAlignment="1">
      <alignment horizontal="center"/>
    </xf>
    <xf numFmtId="166" fontId="96" fillId="2" borderId="4" xfId="32" applyNumberFormat="1" applyFont="1" applyFill="1" applyBorder="1" applyAlignment="1">
      <alignment horizontal="center"/>
    </xf>
    <xf numFmtId="166" fontId="35" fillId="2" borderId="4" xfId="32" applyNumberFormat="1" applyFont="1" applyFill="1" applyBorder="1" applyAlignment="1">
      <alignment horizontal="center"/>
    </xf>
    <xf numFmtId="166" fontId="37" fillId="2" borderId="0" xfId="32" applyNumberFormat="1" applyFont="1" applyFill="1" applyAlignment="1">
      <alignment horizontal="center"/>
    </xf>
    <xf numFmtId="3" fontId="93" fillId="2" borderId="0" xfId="0" applyNumberFormat="1" applyFont="1" applyFill="1" applyAlignment="1">
      <alignment horizontal="center"/>
    </xf>
    <xf numFmtId="166" fontId="93" fillId="2" borderId="0" xfId="32" applyNumberFormat="1" applyFont="1" applyFill="1" applyAlignment="1">
      <alignment horizontal="center"/>
    </xf>
    <xf numFmtId="0" fontId="93" fillId="2" borderId="0" xfId="0" applyFont="1" applyFill="1" applyAlignment="1">
      <alignment horizontal="center"/>
    </xf>
    <xf numFmtId="166" fontId="55" fillId="2" borderId="3" xfId="32" applyNumberFormat="1" applyFont="1" applyFill="1" applyBorder="1" applyAlignment="1">
      <alignment horizontal="center"/>
    </xf>
    <xf numFmtId="3" fontId="38" fillId="2" borderId="3" xfId="0" applyNumberFormat="1" applyFont="1" applyFill="1" applyBorder="1" applyAlignment="1">
      <alignment horizontal="center"/>
    </xf>
    <xf numFmtId="166" fontId="38" fillId="2" borderId="3" xfId="32" applyNumberFormat="1" applyFont="1" applyFill="1" applyBorder="1" applyAlignment="1">
      <alignment horizontal="center"/>
    </xf>
    <xf numFmtId="0" fontId="93" fillId="2" borderId="1" xfId="0" applyFont="1" applyFill="1" applyBorder="1" applyAlignment="1">
      <alignment horizontal="center"/>
    </xf>
    <xf numFmtId="0" fontId="93" fillId="2" borderId="9" xfId="0" applyFont="1" applyFill="1" applyBorder="1" applyAlignment="1">
      <alignment horizontal="center"/>
    </xf>
    <xf numFmtId="0" fontId="96" fillId="2" borderId="1" xfId="0" applyFont="1" applyFill="1" applyBorder="1" applyAlignment="1">
      <alignment horizontal="center"/>
    </xf>
    <xf numFmtId="166" fontId="96" fillId="2" borderId="9" xfId="32" applyNumberFormat="1" applyFont="1" applyFill="1" applyBorder="1" applyAlignment="1">
      <alignment horizontal="center"/>
    </xf>
    <xf numFmtId="166" fontId="96" fillId="2" borderId="1" xfId="32" applyNumberFormat="1" applyFont="1" applyFill="1" applyBorder="1" applyAlignment="1">
      <alignment horizontal="center"/>
    </xf>
    <xf numFmtId="3" fontId="96" fillId="2" borderId="9" xfId="0" applyNumberFormat="1" applyFont="1" applyFill="1" applyBorder="1" applyAlignment="1">
      <alignment horizontal="center"/>
    </xf>
    <xf numFmtId="3" fontId="96" fillId="2" borderId="1" xfId="0" applyNumberFormat="1" applyFont="1" applyFill="1" applyBorder="1" applyAlignment="1">
      <alignment horizontal="center"/>
    </xf>
    <xf numFmtId="167" fontId="35" fillId="2" borderId="9" xfId="32" applyNumberFormat="1" applyFont="1" applyFill="1" applyBorder="1" applyAlignment="1">
      <alignment horizontal="right"/>
    </xf>
    <xf numFmtId="0" fontId="96" fillId="2" borderId="0" xfId="0" applyFont="1" applyFill="1" applyAlignment="1">
      <alignment horizontal="center"/>
    </xf>
    <xf numFmtId="0" fontId="95" fillId="2" borderId="0" xfId="0" applyFont="1" applyFill="1"/>
    <xf numFmtId="0" fontId="95" fillId="2" borderId="0" xfId="0" applyFont="1" applyFill="1" applyAlignment="1">
      <alignment horizontal="left" indent="3"/>
    </xf>
    <xf numFmtId="15" fontId="0" fillId="2" borderId="0" xfId="0" applyNumberFormat="1" applyFill="1"/>
    <xf numFmtId="0" fontId="93" fillId="2" borderId="108" xfId="0" applyFont="1" applyFill="1" applyBorder="1"/>
    <xf numFmtId="165" fontId="37" fillId="2" borderId="3" xfId="32" applyFont="1" applyFill="1" applyBorder="1" applyAlignment="1">
      <alignment horizontal="right"/>
    </xf>
    <xf numFmtId="167" fontId="37" fillId="2" borderId="4" xfId="27" applyNumberFormat="1" applyFont="1" applyFill="1" applyBorder="1" applyAlignment="1">
      <alignment horizontal="right"/>
    </xf>
    <xf numFmtId="167" fontId="37" fillId="2" borderId="3" xfId="27" applyNumberFormat="1" applyFont="1" applyFill="1" applyBorder="1" applyAlignment="1">
      <alignment horizontal="right"/>
    </xf>
    <xf numFmtId="167" fontId="55" fillId="2" borderId="3" xfId="27" applyNumberFormat="1" applyFont="1" applyFill="1" applyBorder="1" applyAlignment="1">
      <alignment horizontal="right"/>
    </xf>
    <xf numFmtId="41" fontId="37" fillId="2" borderId="4" xfId="32" applyNumberFormat="1" applyFont="1" applyFill="1" applyBorder="1" applyAlignment="1">
      <alignment horizontal="right"/>
    </xf>
    <xf numFmtId="41" fontId="37" fillId="2" borderId="3" xfId="27" applyNumberFormat="1" applyFont="1" applyFill="1" applyBorder="1" applyAlignment="1">
      <alignment horizontal="right"/>
    </xf>
    <xf numFmtId="167" fontId="35" fillId="2" borderId="1" xfId="27" applyNumberFormat="1" applyFont="1" applyFill="1" applyBorder="1" applyAlignment="1">
      <alignment horizontal="right"/>
    </xf>
    <xf numFmtId="165" fontId="35" fillId="2" borderId="7" xfId="32" applyFont="1" applyFill="1" applyBorder="1" applyAlignment="1">
      <alignment horizontal="right"/>
    </xf>
    <xf numFmtId="165" fontId="35" fillId="2" borderId="7" xfId="27" applyFont="1" applyFill="1" applyBorder="1" applyAlignment="1">
      <alignment horizontal="right"/>
    </xf>
    <xf numFmtId="167" fontId="35" fillId="2" borderId="7" xfId="27" applyNumberFormat="1" applyFont="1" applyFill="1" applyBorder="1" applyAlignment="1">
      <alignment horizontal="right"/>
    </xf>
    <xf numFmtId="0" fontId="94" fillId="2" borderId="3" xfId="0" applyFont="1" applyFill="1" applyBorder="1" applyAlignment="1">
      <alignment horizontal="center"/>
    </xf>
    <xf numFmtId="167" fontId="37" fillId="2" borderId="93" xfId="32" applyNumberFormat="1" applyFont="1" applyFill="1" applyBorder="1" applyAlignment="1">
      <alignment horizontal="right"/>
    </xf>
    <xf numFmtId="167" fontId="37" fillId="2" borderId="92" xfId="32" applyNumberFormat="1" applyFont="1" applyFill="1" applyBorder="1" applyAlignment="1">
      <alignment horizontal="right"/>
    </xf>
    <xf numFmtId="41" fontId="37" fillId="2" borderId="92" xfId="32" applyNumberFormat="1" applyFont="1" applyFill="1" applyBorder="1" applyAlignment="1">
      <alignment horizontal="right"/>
    </xf>
    <xf numFmtId="3" fontId="37" fillId="2" borderId="93" xfId="27" applyNumberFormat="1" applyFont="1" applyFill="1" applyBorder="1" applyAlignment="1">
      <alignment horizontal="right"/>
    </xf>
    <xf numFmtId="3" fontId="37" fillId="2" borderId="92" xfId="27" applyNumberFormat="1" applyFont="1" applyFill="1" applyBorder="1" applyAlignment="1">
      <alignment horizontal="right"/>
    </xf>
    <xf numFmtId="3" fontId="35" fillId="2" borderId="93" xfId="27" applyNumberFormat="1" applyFont="1" applyFill="1" applyBorder="1" applyAlignment="1">
      <alignment horizontal="right"/>
    </xf>
    <xf numFmtId="3" fontId="35" fillId="2" borderId="7" xfId="27" applyNumberFormat="1" applyFont="1" applyFill="1" applyBorder="1" applyAlignment="1">
      <alignment horizontal="right" vertical="center"/>
    </xf>
    <xf numFmtId="166" fontId="35" fillId="2" borderId="7" xfId="32" applyNumberFormat="1" applyFont="1" applyFill="1" applyBorder="1" applyAlignment="1">
      <alignment horizontal="right" vertical="center"/>
    </xf>
    <xf numFmtId="43" fontId="27" fillId="2" borderId="4" xfId="7" applyFont="1" applyFill="1" applyBorder="1"/>
    <xf numFmtId="0" fontId="90" fillId="2" borderId="0" xfId="0" applyFont="1" applyFill="1" applyAlignment="1">
      <alignment vertical="top"/>
    </xf>
    <xf numFmtId="0" fontId="7" fillId="2" borderId="0" xfId="3" applyFont="1" applyFill="1" applyAlignment="1">
      <alignment horizontal="left" wrapText="1"/>
    </xf>
    <xf numFmtId="0" fontId="7" fillId="2" borderId="0" xfId="3" applyFont="1" applyFill="1" applyAlignment="1">
      <alignment horizontal="left"/>
    </xf>
    <xf numFmtId="0" fontId="22" fillId="2" borderId="0" xfId="1" applyFont="1" applyFill="1" applyAlignment="1">
      <alignment horizontal="center" wrapText="1"/>
    </xf>
    <xf numFmtId="0" fontId="8" fillId="2" borderId="0" xfId="1" applyFont="1" applyFill="1" applyAlignment="1">
      <alignment horizontal="left"/>
    </xf>
    <xf numFmtId="0" fontId="29" fillId="2" borderId="0" xfId="0" applyFont="1" applyFill="1" applyAlignment="1">
      <alignment horizontal="center" vertical="center"/>
    </xf>
    <xf numFmtId="0" fontId="27" fillId="2" borderId="0" xfId="0" applyFont="1" applyFill="1" applyAlignment="1">
      <alignment horizontal="left"/>
    </xf>
    <xf numFmtId="17" fontId="28" fillId="2" borderId="6" xfId="0" applyNumberFormat="1" applyFont="1" applyFill="1" applyBorder="1" applyAlignment="1">
      <alignment horizontal="center" vertical="center"/>
    </xf>
    <xf numFmtId="17" fontId="28" fillId="2" borderId="10" xfId="0" applyNumberFormat="1" applyFont="1" applyFill="1" applyBorder="1" applyAlignment="1">
      <alignment horizontal="center" vertical="center"/>
    </xf>
    <xf numFmtId="0" fontId="15" fillId="2" borderId="9" xfId="0" applyFont="1" applyFill="1" applyBorder="1" applyAlignment="1">
      <alignment horizontal="center" vertical="center"/>
    </xf>
    <xf numFmtId="0" fontId="15" fillId="2" borderId="8" xfId="0" applyFont="1" applyFill="1" applyBorder="1" applyAlignment="1">
      <alignment horizontal="center" vertical="center"/>
    </xf>
    <xf numFmtId="0" fontId="28" fillId="2" borderId="1" xfId="0" applyFont="1" applyFill="1" applyBorder="1" applyAlignment="1">
      <alignment horizontal="center" vertical="center"/>
    </xf>
    <xf numFmtId="0" fontId="28" fillId="2" borderId="9" xfId="0" applyFont="1" applyFill="1" applyBorder="1" applyAlignment="1">
      <alignment horizontal="center" vertical="center"/>
    </xf>
    <xf numFmtId="0" fontId="28" fillId="2" borderId="8"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1" xfId="0" applyFont="1" applyFill="1" applyBorder="1" applyAlignment="1">
      <alignment horizontal="center" vertical="center"/>
    </xf>
    <xf numFmtId="17" fontId="28" fillId="2" borderId="5" xfId="0" applyNumberFormat="1" applyFont="1" applyFill="1" applyBorder="1" applyAlignment="1">
      <alignment horizontal="center" vertical="center"/>
    </xf>
    <xf numFmtId="0" fontId="26" fillId="2" borderId="0" xfId="0" applyFont="1" applyFill="1" applyAlignment="1">
      <alignment horizontal="left" vertical="center"/>
    </xf>
    <xf numFmtId="0" fontId="15" fillId="2" borderId="1" xfId="0" applyFont="1" applyFill="1" applyBorder="1" applyAlignment="1">
      <alignment horizontal="center" vertical="center"/>
    </xf>
    <xf numFmtId="168" fontId="2" fillId="2" borderId="0" xfId="1" applyNumberFormat="1" applyFont="1" applyFill="1" applyAlignment="1">
      <alignment horizontal="left" vertical="top" wrapText="1"/>
    </xf>
    <xf numFmtId="168" fontId="2" fillId="0" borderId="0" xfId="1" applyNumberFormat="1" applyFont="1" applyFill="1" applyAlignment="1">
      <alignment horizontal="left" vertical="top" wrapText="1"/>
    </xf>
    <xf numFmtId="0" fontId="41" fillId="2" borderId="92" xfId="1" applyFont="1" applyFill="1" applyBorder="1" applyAlignment="1">
      <alignment horizontal="center" vertical="center"/>
    </xf>
    <xf numFmtId="0" fontId="41" fillId="2" borderId="0" xfId="1" applyFont="1" applyFill="1" applyBorder="1" applyAlignment="1">
      <alignment horizontal="center" vertical="center"/>
    </xf>
    <xf numFmtId="0" fontId="2" fillId="2" borderId="0" xfId="1" applyFont="1" applyFill="1" applyAlignment="1">
      <alignment horizontal="left" wrapText="1"/>
    </xf>
    <xf numFmtId="0" fontId="2" fillId="2" borderId="0" xfId="1" applyFont="1" applyFill="1" applyAlignment="1">
      <alignment horizontal="left" vertical="center"/>
    </xf>
    <xf numFmtId="0" fontId="39" fillId="2" borderId="0" xfId="1" applyFont="1" applyFill="1" applyAlignment="1">
      <alignment horizontal="left" vertical="center" wrapText="1"/>
    </xf>
    <xf numFmtId="0" fontId="41" fillId="2" borderId="0" xfId="0" applyFont="1" applyFill="1" applyAlignment="1">
      <alignment horizontal="center" vertical="center"/>
    </xf>
    <xf numFmtId="0" fontId="2" fillId="2" borderId="0" xfId="0" applyFont="1" applyFill="1" applyAlignment="1">
      <alignment horizontal="left"/>
    </xf>
    <xf numFmtId="0" fontId="2" fillId="2" borderId="0" xfId="0" applyFont="1" applyFill="1" applyAlignment="1">
      <alignment horizontal="left" vertical="top" wrapText="1"/>
    </xf>
    <xf numFmtId="0" fontId="2" fillId="2" borderId="0" xfId="0" applyFont="1" applyFill="1" applyAlignment="1">
      <alignment vertical="top" wrapText="1"/>
    </xf>
    <xf numFmtId="0" fontId="2" fillId="0" borderId="0" xfId="0" applyFont="1" applyFill="1" applyAlignment="1">
      <alignment horizontal="left" wrapText="1"/>
    </xf>
    <xf numFmtId="0" fontId="2" fillId="0" borderId="0" xfId="0" applyFont="1" applyAlignment="1">
      <alignment horizontal="left" vertical="center" wrapText="1"/>
    </xf>
    <xf numFmtId="0" fontId="14" fillId="2" borderId="0" xfId="0" applyFont="1" applyFill="1" applyAlignment="1">
      <alignment horizontal="left" vertical="top" wrapText="1"/>
    </xf>
    <xf numFmtId="0" fontId="15" fillId="2" borderId="5"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5" xfId="0" applyFont="1" applyFill="1" applyBorder="1" applyAlignment="1">
      <alignment horizontal="center" vertical="top" wrapText="1"/>
    </xf>
    <xf numFmtId="0" fontId="15" fillId="2" borderId="1" xfId="0" applyFont="1" applyFill="1" applyBorder="1" applyAlignment="1">
      <alignment horizontal="center" vertical="top" wrapText="1"/>
    </xf>
    <xf numFmtId="0" fontId="15" fillId="2" borderId="14" xfId="0" applyFont="1" applyFill="1" applyBorder="1" applyAlignment="1">
      <alignment horizontal="center"/>
    </xf>
    <xf numFmtId="0" fontId="15" fillId="2" borderId="13" xfId="0" applyFont="1" applyFill="1" applyBorder="1" applyAlignment="1">
      <alignment horizontal="center"/>
    </xf>
    <xf numFmtId="0" fontId="15" fillId="2" borderId="12" xfId="0" applyFont="1" applyFill="1" applyBorder="1" applyAlignment="1">
      <alignment horizontal="center"/>
    </xf>
    <xf numFmtId="0" fontId="15" fillId="2" borderId="14" xfId="0" applyFont="1" applyFill="1" applyBorder="1" applyAlignment="1">
      <alignment horizontal="center" vertical="top" wrapText="1"/>
    </xf>
    <xf numFmtId="0" fontId="15" fillId="2" borderId="13" xfId="0" applyFont="1" applyFill="1" applyBorder="1" applyAlignment="1">
      <alignment horizontal="center" vertical="top" wrapText="1"/>
    </xf>
    <xf numFmtId="0" fontId="15" fillId="2" borderId="12" xfId="0" applyFont="1" applyFill="1" applyBorder="1" applyAlignment="1">
      <alignment horizontal="center" vertical="top" wrapText="1"/>
    </xf>
    <xf numFmtId="0" fontId="35" fillId="2" borderId="0" xfId="0" applyFont="1" applyFill="1" applyAlignment="1">
      <alignment horizontal="center"/>
    </xf>
    <xf numFmtId="0" fontId="11" fillId="2" borderId="11" xfId="0" applyFont="1" applyFill="1" applyBorder="1" applyAlignment="1">
      <alignment horizontal="left"/>
    </xf>
    <xf numFmtId="0" fontId="11" fillId="2" borderId="0" xfId="0" applyFont="1" applyFill="1" applyAlignment="1">
      <alignment horizontal="left"/>
    </xf>
    <xf numFmtId="0" fontId="15" fillId="2" borderId="14"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2" fillId="2" borderId="0" xfId="1" applyFont="1" applyFill="1" applyAlignment="1">
      <alignment horizontal="left"/>
    </xf>
    <xf numFmtId="0" fontId="50" fillId="2" borderId="15" xfId="1" applyFont="1" applyFill="1" applyBorder="1" applyAlignment="1">
      <alignment horizontal="left"/>
    </xf>
    <xf numFmtId="0" fontId="41" fillId="2" borderId="0" xfId="1" applyFont="1" applyFill="1" applyAlignment="1">
      <alignment horizontal="center" vertical="center" wrapText="1"/>
    </xf>
    <xf numFmtId="0" fontId="26" fillId="2" borderId="0" xfId="0" applyFont="1" applyFill="1"/>
    <xf numFmtId="0" fontId="22" fillId="2" borderId="0" xfId="13" applyFont="1" applyFill="1" applyAlignment="1">
      <alignment horizontal="center" vertical="center" wrapText="1"/>
    </xf>
    <xf numFmtId="0" fontId="50" fillId="2" borderId="0" xfId="3" applyFont="1" applyFill="1" applyAlignment="1">
      <alignment horizontal="left" vertical="center" wrapText="1"/>
    </xf>
    <xf numFmtId="0" fontId="26" fillId="2" borderId="0" xfId="0" applyFont="1" applyFill="1" applyAlignment="1">
      <alignment horizontal="left" vertical="center" wrapText="1"/>
    </xf>
    <xf numFmtId="0" fontId="35" fillId="2" borderId="0" xfId="28" applyFont="1" applyFill="1" applyAlignment="1">
      <alignment horizontal="center"/>
    </xf>
    <xf numFmtId="0" fontId="37" fillId="2" borderId="0" xfId="0" applyFont="1" applyFill="1" applyAlignment="1">
      <alignment horizontal="center"/>
    </xf>
    <xf numFmtId="0" fontId="96" fillId="2" borderId="0" xfId="0" applyFont="1" applyFill="1" applyAlignment="1">
      <alignment horizontal="center"/>
    </xf>
    <xf numFmtId="0" fontId="93" fillId="2" borderId="0" xfId="0" applyFont="1" applyFill="1" applyAlignment="1">
      <alignment horizontal="center"/>
    </xf>
    <xf numFmtId="0" fontId="35" fillId="2" borderId="0" xfId="33" applyFont="1" applyFill="1" applyAlignment="1">
      <alignment horizontal="center"/>
    </xf>
    <xf numFmtId="0" fontId="0" fillId="2" borderId="0" xfId="0" applyFill="1" applyAlignment="1">
      <alignment horizontal="center"/>
    </xf>
    <xf numFmtId="0" fontId="35" fillId="2" borderId="0" xfId="26" applyFont="1" applyFill="1" applyAlignment="1">
      <alignment horizontal="center"/>
    </xf>
    <xf numFmtId="0" fontId="26" fillId="2" borderId="0" xfId="26" applyFont="1" applyFill="1" applyAlignment="1">
      <alignment horizontal="left"/>
    </xf>
    <xf numFmtId="0" fontId="26" fillId="2" borderId="0" xfId="26" applyFont="1" applyFill="1" applyAlignment="1">
      <alignment horizontal="left" vertical="center" wrapText="1"/>
    </xf>
    <xf numFmtId="0" fontId="35" fillId="2" borderId="0" xfId="25" applyFont="1" applyFill="1" applyAlignment="1">
      <alignment horizontal="center"/>
    </xf>
    <xf numFmtId="0" fontId="37" fillId="2" borderId="0" xfId="26" applyFont="1" applyFill="1" applyAlignment="1">
      <alignment horizontal="left"/>
    </xf>
    <xf numFmtId="0" fontId="37" fillId="2" borderId="0" xfId="26" applyFont="1" applyFill="1" applyAlignment="1">
      <alignment horizontal="left" vertical="center"/>
    </xf>
    <xf numFmtId="0" fontId="37" fillId="2" borderId="0" xfId="26" applyFont="1" applyFill="1" applyAlignment="1">
      <alignment horizontal="center" vertical="center"/>
    </xf>
    <xf numFmtId="0" fontId="22" fillId="2" borderId="0" xfId="0" applyFont="1" applyFill="1" applyAlignment="1">
      <alignment horizontal="center" vertical="center" wrapText="1"/>
    </xf>
    <xf numFmtId="0" fontId="22" fillId="2" borderId="0" xfId="0" applyFont="1" applyFill="1" applyAlignment="1">
      <alignment horizontal="center"/>
    </xf>
    <xf numFmtId="0" fontId="2" fillId="2" borderId="0" xfId="0" applyFont="1" applyFill="1" applyBorder="1" applyAlignment="1">
      <alignment horizontal="left"/>
    </xf>
    <xf numFmtId="0" fontId="2" fillId="2" borderId="0" xfId="3" applyFont="1" applyFill="1" applyAlignment="1">
      <alignment horizontal="left"/>
    </xf>
    <xf numFmtId="0" fontId="30" fillId="2" borderId="103" xfId="0" applyFont="1" applyFill="1" applyBorder="1" applyAlignment="1">
      <alignment horizontal="center" vertical="center"/>
    </xf>
    <xf numFmtId="0" fontId="30" fillId="2" borderId="42" xfId="0" applyFont="1" applyFill="1" applyBorder="1" applyAlignment="1">
      <alignment horizontal="center" vertical="center"/>
    </xf>
    <xf numFmtId="0" fontId="30" fillId="2" borderId="19" xfId="0" applyFont="1" applyFill="1" applyBorder="1" applyAlignment="1">
      <alignment horizontal="center" vertical="center"/>
    </xf>
    <xf numFmtId="0" fontId="30" fillId="2" borderId="104" xfId="0" applyFont="1" applyFill="1" applyBorder="1" applyAlignment="1">
      <alignment horizontal="center" vertical="center"/>
    </xf>
    <xf numFmtId="0" fontId="30" fillId="2" borderId="96" xfId="0" applyFont="1" applyFill="1" applyBorder="1" applyAlignment="1">
      <alignment horizontal="center" vertical="center"/>
    </xf>
    <xf numFmtId="0" fontId="30" fillId="2" borderId="101" xfId="0" applyFont="1" applyFill="1" applyBorder="1" applyAlignment="1">
      <alignment horizontal="center" vertical="center"/>
    </xf>
    <xf numFmtId="0" fontId="30" fillId="2" borderId="43" xfId="0" applyFont="1" applyFill="1" applyBorder="1" applyAlignment="1">
      <alignment horizontal="center" vertical="center"/>
    </xf>
    <xf numFmtId="0" fontId="30" fillId="2" borderId="20" xfId="0" applyFont="1" applyFill="1" applyBorder="1" applyAlignment="1">
      <alignment horizontal="center" vertical="center"/>
    </xf>
    <xf numFmtId="0" fontId="30" fillId="2" borderId="47" xfId="0" applyFont="1" applyFill="1" applyBorder="1" applyAlignment="1">
      <alignment horizontal="center" vertical="center"/>
    </xf>
    <xf numFmtId="0" fontId="30" fillId="2" borderId="29" xfId="0" applyFont="1" applyFill="1" applyBorder="1" applyAlignment="1">
      <alignment horizontal="center" vertical="center"/>
    </xf>
    <xf numFmtId="0" fontId="30" fillId="2" borderId="38" xfId="0" applyFont="1" applyFill="1" applyBorder="1" applyAlignment="1">
      <alignment horizontal="center" vertical="center"/>
    </xf>
    <xf numFmtId="0" fontId="30" fillId="2" borderId="46" xfId="0" applyFont="1" applyFill="1" applyBorder="1" applyAlignment="1">
      <alignment horizontal="center" vertical="center" wrapText="1"/>
    </xf>
    <xf numFmtId="0" fontId="30" fillId="2" borderId="44" xfId="0" applyFont="1" applyFill="1" applyBorder="1" applyAlignment="1">
      <alignment horizontal="center" vertical="center" wrapText="1"/>
    </xf>
    <xf numFmtId="0" fontId="30" fillId="2" borderId="37" xfId="0" applyFont="1" applyFill="1" applyBorder="1" applyAlignment="1">
      <alignment horizontal="center" vertical="center" wrapText="1"/>
    </xf>
    <xf numFmtId="0" fontId="30" fillId="2" borderId="45" xfId="0" applyFont="1" applyFill="1" applyBorder="1" applyAlignment="1">
      <alignment horizontal="center" vertical="center"/>
    </xf>
    <xf numFmtId="0" fontId="30" fillId="2" borderId="44" xfId="0" applyFont="1" applyFill="1" applyBorder="1" applyAlignment="1">
      <alignment horizontal="center" vertical="center"/>
    </xf>
    <xf numFmtId="0" fontId="30" fillId="2" borderId="34" xfId="0" applyFont="1" applyFill="1" applyBorder="1" applyAlignment="1">
      <alignment horizontal="center" vertical="center"/>
    </xf>
    <xf numFmtId="0" fontId="30" fillId="2" borderId="97" xfId="0" applyFont="1" applyFill="1" applyBorder="1" applyAlignment="1">
      <alignment horizontal="center" vertical="center"/>
    </xf>
    <xf numFmtId="0" fontId="30" fillId="2" borderId="11" xfId="0" applyFont="1" applyFill="1" applyBorder="1" applyAlignment="1">
      <alignment horizontal="center" vertical="center"/>
    </xf>
    <xf numFmtId="0" fontId="30" fillId="2" borderId="98" xfId="0" applyFont="1" applyFill="1" applyBorder="1" applyAlignment="1">
      <alignment horizontal="center" vertical="center"/>
    </xf>
    <xf numFmtId="0" fontId="30" fillId="2" borderId="99" xfId="0" applyFont="1" applyFill="1" applyBorder="1" applyAlignment="1">
      <alignment horizontal="center" vertical="center"/>
    </xf>
    <xf numFmtId="0" fontId="30" fillId="2" borderId="27" xfId="0" applyFont="1" applyFill="1" applyBorder="1" applyAlignment="1">
      <alignment horizontal="center" vertical="center"/>
    </xf>
    <xf numFmtId="0" fontId="30" fillId="2" borderId="0" xfId="0" applyFont="1" applyFill="1" applyBorder="1" applyAlignment="1">
      <alignment horizontal="center" vertical="center"/>
    </xf>
    <xf numFmtId="0" fontId="30" fillId="2" borderId="30" xfId="0" applyFont="1" applyFill="1" applyBorder="1" applyAlignment="1">
      <alignment horizontal="center" vertical="center"/>
    </xf>
    <xf numFmtId="0" fontId="30" fillId="2" borderId="102" xfId="0" applyFont="1" applyFill="1" applyBorder="1" applyAlignment="1">
      <alignment horizontal="center" vertical="center"/>
    </xf>
    <xf numFmtId="0" fontId="22" fillId="2" borderId="0" xfId="1" applyFont="1" applyFill="1" applyAlignment="1">
      <alignment horizontal="center"/>
    </xf>
    <xf numFmtId="0" fontId="13" fillId="2" borderId="0" xfId="1" applyFont="1" applyFill="1" applyAlignment="1">
      <alignment horizontal="center"/>
    </xf>
    <xf numFmtId="0" fontId="2" fillId="2" borderId="48" xfId="1" applyFont="1" applyFill="1" applyBorder="1" applyAlignment="1">
      <alignment horizontal="left"/>
    </xf>
    <xf numFmtId="0" fontId="13" fillId="2" borderId="61" xfId="1" applyFont="1" applyFill="1" applyBorder="1" applyAlignment="1">
      <alignment horizontal="center"/>
    </xf>
    <xf numFmtId="0" fontId="13" fillId="2" borderId="60" xfId="1" applyFont="1" applyFill="1" applyBorder="1" applyAlignment="1">
      <alignment horizontal="center"/>
    </xf>
    <xf numFmtId="0" fontId="13" fillId="2" borderId="59" xfId="1" applyFont="1" applyFill="1" applyBorder="1" applyAlignment="1">
      <alignment horizontal="center"/>
    </xf>
    <xf numFmtId="0" fontId="13" fillId="2" borderId="66" xfId="1" applyFont="1" applyFill="1" applyBorder="1" applyAlignment="1">
      <alignment horizontal="center"/>
    </xf>
    <xf numFmtId="0" fontId="13" fillId="2" borderId="64" xfId="1" applyFont="1" applyFill="1" applyBorder="1" applyAlignment="1">
      <alignment horizontal="center"/>
    </xf>
    <xf numFmtId="0" fontId="13" fillId="2" borderId="63" xfId="1" applyFont="1" applyFill="1" applyBorder="1" applyAlignment="1">
      <alignment horizontal="center"/>
    </xf>
    <xf numFmtId="0" fontId="13" fillId="2" borderId="65" xfId="1" applyFont="1" applyFill="1" applyBorder="1" applyAlignment="1">
      <alignment horizontal="center"/>
    </xf>
    <xf numFmtId="0" fontId="13" fillId="2" borderId="67" xfId="1" applyFont="1" applyFill="1" applyBorder="1" applyAlignment="1">
      <alignment horizontal="center" vertical="center"/>
    </xf>
    <xf numFmtId="0" fontId="2" fillId="2" borderId="25" xfId="1" applyFont="1" applyFill="1" applyBorder="1" applyAlignment="1">
      <alignment vertical="center"/>
    </xf>
    <xf numFmtId="0" fontId="13" fillId="2" borderId="45" xfId="1" applyFont="1" applyFill="1" applyBorder="1" applyAlignment="1">
      <alignment horizontal="center"/>
    </xf>
    <xf numFmtId="0" fontId="13" fillId="2" borderId="44" xfId="1" applyFont="1" applyFill="1" applyBorder="1" applyAlignment="1">
      <alignment horizontal="center"/>
    </xf>
    <xf numFmtId="0" fontId="13" fillId="2" borderId="37" xfId="1" applyFont="1" applyFill="1" applyBorder="1" applyAlignment="1">
      <alignment horizontal="center"/>
    </xf>
    <xf numFmtId="0" fontId="50" fillId="2" borderId="11" xfId="0" applyFont="1" applyFill="1" applyBorder="1" applyAlignment="1">
      <alignment horizontal="left"/>
    </xf>
    <xf numFmtId="0" fontId="68" fillId="2" borderId="0" xfId="18" applyFont="1" applyFill="1" applyAlignment="1">
      <alignment horizontal="left"/>
    </xf>
    <xf numFmtId="0" fontId="27" fillId="2" borderId="0" xfId="3" applyFont="1" applyFill="1" applyAlignment="1">
      <alignment horizontal="left"/>
    </xf>
    <xf numFmtId="0" fontId="41" fillId="2" borderId="0" xfId="0" applyFont="1" applyFill="1" applyAlignment="1">
      <alignment horizontal="center"/>
    </xf>
    <xf numFmtId="17" fontId="30" fillId="2" borderId="73" xfId="0" quotePrefix="1" applyNumberFormat="1" applyFont="1" applyFill="1" applyBorder="1" applyAlignment="1">
      <alignment horizontal="center"/>
    </xf>
    <xf numFmtId="17" fontId="30" fillId="2" borderId="13" xfId="0" applyNumberFormat="1" applyFont="1" applyFill="1" applyBorder="1" applyAlignment="1">
      <alignment horizontal="center"/>
    </xf>
    <xf numFmtId="17" fontId="30" fillId="2" borderId="72" xfId="0" applyNumberFormat="1" applyFont="1" applyFill="1" applyBorder="1" applyAlignment="1">
      <alignment horizontal="center"/>
    </xf>
    <xf numFmtId="0" fontId="30" fillId="2" borderId="57" xfId="0" quotePrefix="1" applyFont="1" applyFill="1" applyBorder="1" applyAlignment="1">
      <alignment horizontal="center"/>
    </xf>
    <xf numFmtId="0" fontId="30" fillId="2" borderId="7" xfId="0" applyFont="1" applyFill="1" applyBorder="1" applyAlignment="1">
      <alignment horizontal="center"/>
    </xf>
    <xf numFmtId="0" fontId="30" fillId="2" borderId="58" xfId="0" applyFont="1" applyFill="1" applyBorder="1" applyAlignment="1">
      <alignment horizontal="center"/>
    </xf>
    <xf numFmtId="17" fontId="30" fillId="2" borderId="57" xfId="0" applyNumberFormat="1" applyFont="1" applyFill="1" applyBorder="1" applyAlignment="1">
      <alignment horizontal="center"/>
    </xf>
    <xf numFmtId="17" fontId="30" fillId="2" borderId="7" xfId="0" applyNumberFormat="1" applyFont="1" applyFill="1" applyBorder="1" applyAlignment="1">
      <alignment horizontal="center"/>
    </xf>
    <xf numFmtId="17" fontId="30" fillId="2" borderId="58" xfId="0" applyNumberFormat="1" applyFont="1" applyFill="1" applyBorder="1" applyAlignment="1">
      <alignment horizontal="center"/>
    </xf>
    <xf numFmtId="17" fontId="30" fillId="2" borderId="57" xfId="0" quotePrefix="1" applyNumberFormat="1" applyFont="1" applyFill="1" applyBorder="1" applyAlignment="1">
      <alignment horizontal="center"/>
    </xf>
    <xf numFmtId="17" fontId="30" fillId="2" borderId="73" xfId="0" applyNumberFormat="1" applyFont="1" applyFill="1" applyBorder="1" applyAlignment="1">
      <alignment horizontal="center"/>
    </xf>
    <xf numFmtId="0" fontId="22" fillId="2" borderId="0" xfId="21" applyFont="1" applyFill="1" applyAlignment="1">
      <alignment horizontal="center" vertical="center" wrapText="1"/>
    </xf>
    <xf numFmtId="0" fontId="2" fillId="2" borderId="0" xfId="21" applyFont="1" applyFill="1" applyAlignment="1">
      <alignment horizontal="left"/>
    </xf>
    <xf numFmtId="0" fontId="13" fillId="2" borderId="14" xfId="0" applyFont="1" applyFill="1" applyBorder="1" applyAlignment="1">
      <alignment horizontal="center"/>
    </xf>
    <xf numFmtId="0" fontId="13" fillId="2" borderId="13" xfId="0" applyFont="1" applyFill="1" applyBorder="1" applyAlignment="1">
      <alignment horizontal="center"/>
    </xf>
    <xf numFmtId="0" fontId="13" fillId="2" borderId="12" xfId="0" applyFont="1" applyFill="1" applyBorder="1" applyAlignment="1">
      <alignment horizontal="center"/>
    </xf>
    <xf numFmtId="0" fontId="13" fillId="2" borderId="40" xfId="0" applyFont="1" applyFill="1" applyBorder="1" applyAlignment="1">
      <alignment horizontal="center"/>
    </xf>
    <xf numFmtId="0" fontId="13" fillId="2" borderId="39" xfId="0" applyFont="1" applyFill="1" applyBorder="1" applyAlignment="1">
      <alignment horizontal="center"/>
    </xf>
    <xf numFmtId="0" fontId="13" fillId="2" borderId="41" xfId="0" applyFont="1" applyFill="1" applyBorder="1" applyAlignment="1">
      <alignment horizontal="center"/>
    </xf>
    <xf numFmtId="0" fontId="13" fillId="2" borderId="7" xfId="0" applyFont="1" applyFill="1" applyBorder="1" applyAlignment="1">
      <alignment horizontal="center"/>
    </xf>
    <xf numFmtId="0" fontId="13" fillId="2" borderId="23" xfId="0" applyFont="1" applyFill="1" applyBorder="1" applyAlignment="1">
      <alignment horizontal="center" vertical="center"/>
    </xf>
    <xf numFmtId="0" fontId="2" fillId="2" borderId="25" xfId="0" applyFont="1" applyFill="1" applyBorder="1" applyAlignment="1">
      <alignment vertical="center"/>
    </xf>
    <xf numFmtId="0" fontId="13" fillId="2" borderId="73" xfId="0" applyFont="1" applyFill="1" applyBorder="1" applyAlignment="1">
      <alignment horizontal="center"/>
    </xf>
    <xf numFmtId="0" fontId="13" fillId="2" borderId="72" xfId="0" applyFont="1" applyFill="1" applyBorder="1" applyAlignment="1">
      <alignment horizontal="center"/>
    </xf>
    <xf numFmtId="17" fontId="13" fillId="2" borderId="36" xfId="0" quotePrefix="1" applyNumberFormat="1" applyFont="1" applyFill="1" applyBorder="1" applyAlignment="1">
      <alignment horizontal="center"/>
    </xf>
    <xf numFmtId="17" fontId="13" fillId="2" borderId="35" xfId="0" applyNumberFormat="1" applyFont="1" applyFill="1" applyBorder="1" applyAlignment="1">
      <alignment horizontal="center"/>
    </xf>
    <xf numFmtId="17" fontId="13" fillId="2" borderId="86" xfId="0" applyNumberFormat="1" applyFont="1" applyFill="1" applyBorder="1" applyAlignment="1">
      <alignment horizontal="center"/>
    </xf>
    <xf numFmtId="17" fontId="13" fillId="2" borderId="55" xfId="0" applyNumberFormat="1" applyFont="1" applyFill="1" applyBorder="1" applyAlignment="1">
      <alignment horizontal="center"/>
    </xf>
    <xf numFmtId="17" fontId="13" fillId="2" borderId="36" xfId="0" applyNumberFormat="1" applyFont="1" applyFill="1" applyBorder="1" applyAlignment="1">
      <alignment horizontal="center"/>
    </xf>
    <xf numFmtId="17" fontId="13" fillId="2" borderId="56" xfId="0" quotePrefix="1" applyNumberFormat="1" applyFont="1" applyFill="1" applyBorder="1" applyAlignment="1">
      <alignment horizontal="center"/>
    </xf>
    <xf numFmtId="0" fontId="22" fillId="2" borderId="0" xfId="13" applyFont="1" applyFill="1" applyAlignment="1">
      <alignment horizontal="center" vertical="center"/>
    </xf>
    <xf numFmtId="0" fontId="11" fillId="2" borderId="11" xfId="0" applyFont="1" applyFill="1" applyBorder="1" applyAlignment="1">
      <alignment vertical="top" wrapText="1"/>
    </xf>
    <xf numFmtId="0" fontId="11" fillId="2" borderId="0" xfId="0" applyFont="1" applyFill="1" applyAlignment="1">
      <alignment horizontal="left" vertical="top" wrapText="1"/>
    </xf>
    <xf numFmtId="0" fontId="90" fillId="2" borderId="0" xfId="0" applyFont="1" applyFill="1" applyAlignment="1">
      <alignment horizontal="left" vertical="top" wrapText="1"/>
    </xf>
    <xf numFmtId="0" fontId="90" fillId="2" borderId="0" xfId="0" applyFont="1" applyFill="1" applyAlignment="1">
      <alignment horizontal="left" vertical="center" wrapText="1"/>
    </xf>
    <xf numFmtId="0" fontId="35" fillId="2" borderId="0" xfId="0" applyFont="1" applyFill="1" applyAlignment="1">
      <alignment horizontal="center" vertical="center"/>
    </xf>
    <xf numFmtId="0" fontId="32" fillId="2" borderId="0" xfId="0" applyFont="1" applyFill="1" applyAlignment="1">
      <alignment horizontal="left" vertical="center" wrapText="1"/>
    </xf>
    <xf numFmtId="0" fontId="32" fillId="2" borderId="0" xfId="0" applyFont="1" applyFill="1" applyAlignment="1">
      <alignment horizontal="left"/>
    </xf>
  </cellXfs>
  <cellStyles count="34">
    <cellStyle name="Comma" xfId="7" builtinId="3"/>
    <cellStyle name="Comma [0] 2" xfId="20" xr:uid="{00000000-0005-0000-0000-000001000000}"/>
    <cellStyle name="Comma [0] 2 2" xfId="22" xr:uid="{00000000-0005-0000-0000-000002000000}"/>
    <cellStyle name="Comma 10" xfId="15" xr:uid="{00000000-0005-0000-0000-000003000000}"/>
    <cellStyle name="Comma 10 2" xfId="27" xr:uid="{00000000-0005-0000-0000-000004000000}"/>
    <cellStyle name="Comma 10 2 2" xfId="32" xr:uid="{00000000-0005-0000-0000-000005000000}"/>
    <cellStyle name="Comma 2" xfId="4" xr:uid="{00000000-0005-0000-0000-000006000000}"/>
    <cellStyle name="Comma 2 2" xfId="9" xr:uid="{00000000-0005-0000-0000-000007000000}"/>
    <cellStyle name="Comma 2 2 2" xfId="24" xr:uid="{00000000-0005-0000-0000-000008000000}"/>
    <cellStyle name="Comma 2 2 3" xfId="30" xr:uid="{00000000-0005-0000-0000-000009000000}"/>
    <cellStyle name="Comma 2 2 4" xfId="31" xr:uid="{00000000-0005-0000-0000-00000A000000}"/>
    <cellStyle name="Comma 3" xfId="8" xr:uid="{00000000-0005-0000-0000-00000B000000}"/>
    <cellStyle name="Comma 3 2" xfId="19" xr:uid="{00000000-0005-0000-0000-00000C000000}"/>
    <cellStyle name="Comma 3 3" xfId="29" xr:uid="{00000000-0005-0000-0000-00000D000000}"/>
    <cellStyle name="Hyperlink" xfId="23" builtinId="8"/>
    <cellStyle name="Normal" xfId="0" builtinId="0"/>
    <cellStyle name="Normal 10" xfId="11" xr:uid="{00000000-0005-0000-0000-000010000000}"/>
    <cellStyle name="Normal 2" xfId="1" xr:uid="{00000000-0005-0000-0000-000011000000}"/>
    <cellStyle name="Normal 2 2" xfId="12" xr:uid="{00000000-0005-0000-0000-000012000000}"/>
    <cellStyle name="Normal 2 2 2" xfId="6" xr:uid="{00000000-0005-0000-0000-000013000000}"/>
    <cellStyle name="Normal 2 3" xfId="13" xr:uid="{00000000-0005-0000-0000-000014000000}"/>
    <cellStyle name="Normal 261" xfId="33" xr:uid="{00000000-0005-0000-0000-000015000000}"/>
    <cellStyle name="Normal 262" xfId="16" xr:uid="{00000000-0005-0000-0000-000016000000}"/>
    <cellStyle name="Normal 262 2" xfId="26" xr:uid="{00000000-0005-0000-0000-000017000000}"/>
    <cellStyle name="Normal 263" xfId="14" xr:uid="{00000000-0005-0000-0000-000018000000}"/>
    <cellStyle name="Normal 263 2" xfId="17" xr:uid="{00000000-0005-0000-0000-000019000000}"/>
    <cellStyle name="Normal 263 2 2" xfId="28" xr:uid="{00000000-0005-0000-0000-00001A000000}"/>
    <cellStyle name="Normal 263 3" xfId="25" xr:uid="{00000000-0005-0000-0000-00001B000000}"/>
    <cellStyle name="Normal 3" xfId="5" xr:uid="{00000000-0005-0000-0000-00001C000000}"/>
    <cellStyle name="Normal 4" xfId="21" xr:uid="{00000000-0005-0000-0000-00001D000000}"/>
    <cellStyle name="Normal_CGDD-Jan-09" xfId="10" xr:uid="{00000000-0005-0000-0000-00001E000000}"/>
    <cellStyle name="Normal_Copy of rate310309" xfId="18" xr:uid="{00000000-0005-0000-0000-00001F000000}"/>
    <cellStyle name="Normal_stock310309" xfId="3" xr:uid="{00000000-0005-0000-0000-000020000000}"/>
    <cellStyle name="Percent 2" xfId="2" xr:uid="{00000000-0005-0000-0000-00002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25"/>
  <sheetViews>
    <sheetView zoomScaleNormal="100" workbookViewId="0">
      <selection activeCell="A13" sqref="A13"/>
    </sheetView>
  </sheetViews>
  <sheetFormatPr defaultColWidth="8.7265625" defaultRowHeight="14.5" x14ac:dyDescent="0.35"/>
  <cols>
    <col min="1" max="1" width="102.08984375" style="103" customWidth="1"/>
    <col min="2" max="16384" width="8.7265625" style="103"/>
  </cols>
  <sheetData>
    <row r="2" spans="1:1" ht="25" x14ac:dyDescent="0.5">
      <c r="A2" s="909" t="s">
        <v>103</v>
      </c>
    </row>
    <row r="3" spans="1:1" ht="18" x14ac:dyDescent="0.4">
      <c r="A3" s="879" t="s">
        <v>894</v>
      </c>
    </row>
    <row r="4" spans="1:1" ht="30.15" customHeight="1" x14ac:dyDescent="0.35">
      <c r="A4" s="910" t="s">
        <v>104</v>
      </c>
    </row>
    <row r="5" spans="1:1" ht="30.15" customHeight="1" x14ac:dyDescent="0.35">
      <c r="A5" s="910" t="s">
        <v>740</v>
      </c>
    </row>
    <row r="6" spans="1:1" ht="30.15" customHeight="1" x14ac:dyDescent="0.35">
      <c r="A6" s="910" t="s">
        <v>741</v>
      </c>
    </row>
    <row r="7" spans="1:1" ht="30.15" customHeight="1" x14ac:dyDescent="0.35">
      <c r="A7" s="910" t="s">
        <v>105</v>
      </c>
    </row>
    <row r="8" spans="1:1" ht="30.15" customHeight="1" x14ac:dyDescent="0.35">
      <c r="A8" s="910" t="s">
        <v>106</v>
      </c>
    </row>
    <row r="9" spans="1:1" ht="30.15" customHeight="1" x14ac:dyDescent="0.35">
      <c r="A9" s="910" t="s">
        <v>107</v>
      </c>
    </row>
    <row r="10" spans="1:1" ht="30.15" customHeight="1" x14ac:dyDescent="0.35">
      <c r="A10" s="910" t="s">
        <v>742</v>
      </c>
    </row>
    <row r="11" spans="1:1" ht="30.15" customHeight="1" x14ac:dyDescent="0.35">
      <c r="A11" s="910" t="s">
        <v>734</v>
      </c>
    </row>
    <row r="12" spans="1:1" ht="30.15" customHeight="1" x14ac:dyDescent="0.35">
      <c r="A12" s="910" t="s">
        <v>746</v>
      </c>
    </row>
    <row r="13" spans="1:1" ht="30.15" customHeight="1" x14ac:dyDescent="0.35">
      <c r="A13" s="910" t="s">
        <v>743</v>
      </c>
    </row>
    <row r="14" spans="1:1" ht="30.15" customHeight="1" x14ac:dyDescent="0.35">
      <c r="A14" s="910" t="s">
        <v>108</v>
      </c>
    </row>
    <row r="15" spans="1:1" ht="30.15" customHeight="1" x14ac:dyDescent="0.35">
      <c r="A15" s="910" t="s">
        <v>735</v>
      </c>
    </row>
    <row r="16" spans="1:1" ht="30.15" customHeight="1" x14ac:dyDescent="0.35">
      <c r="A16" s="910" t="s">
        <v>744</v>
      </c>
    </row>
    <row r="17" spans="1:1" ht="30.15" customHeight="1" x14ac:dyDescent="0.35">
      <c r="A17" s="910" t="s">
        <v>736</v>
      </c>
    </row>
    <row r="18" spans="1:1" ht="30.15" customHeight="1" x14ac:dyDescent="0.35">
      <c r="A18" s="910" t="s">
        <v>737</v>
      </c>
    </row>
    <row r="19" spans="1:1" ht="30.15" customHeight="1" x14ac:dyDescent="0.35">
      <c r="A19" s="910" t="s">
        <v>745</v>
      </c>
    </row>
    <row r="20" spans="1:1" ht="30.15" customHeight="1" x14ac:dyDescent="0.35">
      <c r="A20" s="910" t="s">
        <v>738</v>
      </c>
    </row>
    <row r="21" spans="1:1" ht="30.15" customHeight="1" x14ac:dyDescent="0.35">
      <c r="A21" s="910" t="s">
        <v>739</v>
      </c>
    </row>
    <row r="22" spans="1:1" ht="30.15" customHeight="1" x14ac:dyDescent="0.35">
      <c r="A22" s="910" t="s">
        <v>747</v>
      </c>
    </row>
    <row r="23" spans="1:1" ht="30.15" customHeight="1" x14ac:dyDescent="0.35">
      <c r="A23" s="910" t="s">
        <v>109</v>
      </c>
    </row>
    <row r="24" spans="1:1" ht="30.15" customHeight="1" x14ac:dyDescent="0.35">
      <c r="A24" s="910" t="s">
        <v>110</v>
      </c>
    </row>
    <row r="25" spans="1:1" ht="16" x14ac:dyDescent="0.35">
      <c r="A25" s="911"/>
    </row>
  </sheetData>
  <hyperlinks>
    <hyperlink ref="A4" location="'Tab 1'!A1" display="Table 1 - Public Sector Debt​​​" xr:uid="{00000000-0004-0000-0000-000000000000}"/>
    <hyperlink ref="A5" location="'Tab 1a'!A1" display="    Table 1a - Details of Public Enterprise Domestic Deb​t​​" xr:uid="{00000000-0004-0000-0000-000001000000}"/>
    <hyperlink ref="A6" location="'Tab 1b'!A1" display="    Table 1b - Details of Public Enterprise External Debt​​​​​" xr:uid="{00000000-0004-0000-0000-000002000000}"/>
    <hyperlink ref="A7" location="'Tab 2'!A1" display="Table 2 - Gross External Debt Stock​​​" xr:uid="{00000000-0004-0000-0000-000003000000}"/>
    <hyperlink ref="A8" location="'Tab 3'!A1" display="Table 3 - Debt Service Ratio​​​​" xr:uid="{00000000-0004-0000-0000-000004000000}"/>
    <hyperlink ref="A9" location="'Tab 4'!A1" display="Table 4 - Public Debt Servicing on cash basis​​​​" xr:uid="{00000000-0004-0000-0000-000005000000}"/>
    <hyperlink ref="A10" location="'Tab 5'!A1" display="Table 5 - Budgetary Central Govt Debt by original maturity​​​​​​" xr:uid="{00000000-0004-0000-0000-000006000000}"/>
    <hyperlink ref="A11" location="'Tab 6'!A1" display="Table 6 - Public Enterprises Outstanding External Debt by original maturity​​​​" xr:uid="{00000000-0004-0000-0000-000007000000}"/>
    <hyperlink ref="A12" location="'Tab 7'!A1" display="Table 7 - Budgetary Central Government and Public Enterprises External Debt by Residual Maturity​​​​" xr:uid="{00000000-0004-0000-0000-000008000000}"/>
    <hyperlink ref="A13" location="'Tab 8'!A1" display="Table 8 - Budgetary Central Government Domestic debt by residual maturities​​​​" xr:uid="{00000000-0004-0000-0000-000009000000}"/>
    <hyperlink ref="A14" location="'Tab 9'!A1" display="Table 9 - Currency Composition of Budgetary Central Government External Debt​​​​" xr:uid="{00000000-0004-0000-0000-00000A000000}"/>
    <hyperlink ref="A15" location="'Tab 10'!A1" display="Table 10 - Currency Composition of Public Enterprises External Debt​​​​" xr:uid="{00000000-0004-0000-0000-00000B000000}"/>
    <hyperlink ref="A16" location="'Tab 11'!A1" display="Table 11 - Budgetary Central Government Public Enterprises External Debt by Borrower Creditor Category​​​​" xr:uid="{00000000-0004-0000-0000-00000C000000}"/>
    <hyperlink ref="A17" location="'Tab 12'!A1" display="Table 12 - Interest Rate Mix of Budgetary Central Government and Public Enterprises External Debt​​​​​" xr:uid="{00000000-0004-0000-0000-00000D000000}"/>
    <hyperlink ref="A18" location="'Tab 13'!A1" display="Table 13 - Public Enterprises Outstanding Domestic Debt by Creditor Category​​​​" xr:uid="{00000000-0004-0000-0000-00000E000000}"/>
    <hyperlink ref="A19" location="'Tab 14'!A1" display="Table 14 - Public Enterprises Outstanding Domestic Debt by Original Maturity​​​​" xr:uid="{00000000-0004-0000-0000-00000F000000}"/>
    <hyperlink ref="A20" location="'Tab 15'!A1" display="Table 15 - Currency Composition of Public Enterprises Outstanding Domestic Debt​​​​" xr:uid="{00000000-0004-0000-0000-000010000000}"/>
    <hyperlink ref="A21" location="'Tab 16'!A1" display="Table 16 - Interest Rate Mix of Public Enterprises Outstanding Domestic Debt​​​" xr:uid="{00000000-0004-0000-0000-000011000000}"/>
    <hyperlink ref="A22" location="'Tab 17'!A1" display="Table 17 - Public Enterprises Domestic Debt by Remaining Maturities​​​​" xr:uid="{00000000-0004-0000-0000-000012000000}"/>
    <hyperlink ref="A24" location="'Tab 19'!A1" display="Table 19 - Holdings of Government Securities by Creditor Type​​" xr:uid="{00000000-0004-0000-0000-000013000000}"/>
    <hyperlink ref="A23" location="'Tab 18'!A1" display="Table 18 - Cost and Risk Indicators​​​​" xr:uid="{00000000-0004-0000-0000-000014000000}"/>
  </hyperlinks>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Y33"/>
  <sheetViews>
    <sheetView showGridLines="0" zoomScale="110" zoomScaleNormal="110" workbookViewId="0">
      <pane xSplit="1" ySplit="4" topLeftCell="B5" activePane="bottomRight" state="frozen"/>
      <selection pane="topRight" activeCell="B1" sqref="B1"/>
      <selection pane="bottomLeft" activeCell="A5" sqref="A5"/>
      <selection pane="bottomRight" activeCell="AW6" sqref="AW6"/>
    </sheetView>
  </sheetViews>
  <sheetFormatPr defaultColWidth="9.08984375" defaultRowHeight="14" x14ac:dyDescent="0.3"/>
  <cols>
    <col min="1" max="1" width="44.90625" style="102" customWidth="1"/>
    <col min="2" max="2" width="9.453125" style="102" hidden="1" customWidth="1"/>
    <col min="3" max="3" width="9.36328125" style="102" hidden="1" customWidth="1"/>
    <col min="4" max="4" width="9.453125" style="102" hidden="1" customWidth="1"/>
    <col min="5" max="5" width="10.36328125" style="102" hidden="1" customWidth="1"/>
    <col min="6" max="14" width="9.36328125" style="102" hidden="1" customWidth="1"/>
    <col min="15" max="15" width="9.6328125" style="102" hidden="1" customWidth="1"/>
    <col min="16" max="16" width="9" style="102" hidden="1" customWidth="1"/>
    <col min="17" max="17" width="9.08984375" style="102" hidden="1" customWidth="1"/>
    <col min="18" max="19" width="9.453125" style="102" hidden="1" customWidth="1"/>
    <col min="20" max="20" width="9.08984375" style="102" hidden="1" customWidth="1"/>
    <col min="21" max="21" width="9" style="102" hidden="1" customWidth="1"/>
    <col min="22" max="24" width="9.453125" style="102" hidden="1" customWidth="1"/>
    <col min="25" max="25" width="9.6328125" style="102" hidden="1" customWidth="1"/>
    <col min="26" max="26" width="9.90625" style="102" hidden="1" customWidth="1"/>
    <col min="27" max="27" width="10.08984375" style="102" hidden="1" customWidth="1"/>
    <col min="28" max="28" width="9.6328125" style="102" hidden="1" customWidth="1"/>
    <col min="29" max="30" width="9.90625" style="102" hidden="1" customWidth="1"/>
    <col min="31" max="31" width="9.6328125" style="102" hidden="1" customWidth="1"/>
    <col min="32" max="33" width="9.453125" style="102" hidden="1" customWidth="1"/>
    <col min="34" max="35" width="9.90625" style="102" hidden="1" customWidth="1"/>
    <col min="36" max="36" width="9.6328125" style="102" hidden="1" customWidth="1"/>
    <col min="37" max="37" width="9.453125" style="102" hidden="1" customWidth="1"/>
    <col min="38" max="38" width="10.08984375" style="102" hidden="1" customWidth="1"/>
    <col min="39" max="39" width="9.6328125" style="102" hidden="1" customWidth="1"/>
    <col min="40" max="40" width="9.90625" style="102" hidden="1" customWidth="1"/>
    <col min="41" max="41" width="10.36328125" style="102" hidden="1" customWidth="1"/>
    <col min="42" max="42" width="10.08984375" style="102" hidden="1" customWidth="1"/>
    <col min="43" max="43" width="11.08984375" style="102" hidden="1" customWidth="1"/>
    <col min="44" max="44" width="6" style="102" hidden="1" customWidth="1"/>
    <col min="45" max="45" width="11.90625" style="102" hidden="1" customWidth="1"/>
    <col min="46" max="46" width="13" style="102" hidden="1" customWidth="1"/>
    <col min="47" max="48" width="12.6328125" style="102" hidden="1" customWidth="1"/>
    <col min="49" max="51" width="12.6328125" style="1127" customWidth="1"/>
    <col min="52" max="16384" width="9.08984375" style="102"/>
  </cols>
  <sheetData>
    <row r="1" spans="1:51" ht="30.65" customHeight="1" x14ac:dyDescent="0.3">
      <c r="A1" s="1266" t="s">
        <v>792</v>
      </c>
      <c r="B1" s="1266"/>
      <c r="C1" s="1266"/>
      <c r="D1" s="1266"/>
      <c r="E1" s="1266"/>
      <c r="F1" s="1266"/>
      <c r="G1" s="1266"/>
      <c r="H1" s="1266"/>
      <c r="I1" s="1266"/>
      <c r="J1" s="1266"/>
      <c r="K1" s="1266"/>
      <c r="L1" s="1266"/>
      <c r="M1" s="1266"/>
      <c r="N1" s="1266"/>
      <c r="O1" s="1266"/>
      <c r="P1" s="1266"/>
      <c r="Q1" s="1266"/>
      <c r="R1" s="1266"/>
      <c r="S1" s="1266"/>
      <c r="T1" s="1266"/>
      <c r="U1" s="1266"/>
      <c r="V1" s="1266"/>
      <c r="W1" s="1266"/>
      <c r="X1" s="1266"/>
      <c r="Y1" s="1266"/>
      <c r="Z1" s="1266"/>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row>
    <row r="2" spans="1:51" ht="17.399999999999999" customHeight="1" x14ac:dyDescent="0.3">
      <c r="A2" s="316"/>
      <c r="B2" s="311"/>
      <c r="C2" s="311"/>
      <c r="D2" s="311"/>
      <c r="E2" s="311"/>
      <c r="F2" s="311"/>
      <c r="G2" s="311"/>
      <c r="H2" s="311"/>
      <c r="I2" s="311"/>
      <c r="J2" s="311"/>
      <c r="K2" s="311"/>
      <c r="L2" s="311"/>
      <c r="N2" s="310"/>
      <c r="O2" s="310"/>
      <c r="P2" s="310"/>
      <c r="Q2" s="310"/>
      <c r="S2" s="310"/>
      <c r="T2" s="310"/>
      <c r="U2" s="310"/>
      <c r="V2" s="310"/>
      <c r="W2" s="310"/>
      <c r="X2" s="310"/>
      <c r="Y2" s="310"/>
      <c r="Z2" s="310"/>
      <c r="AA2" s="310"/>
      <c r="AB2" s="310"/>
      <c r="AC2" s="310"/>
      <c r="AD2" s="310"/>
      <c r="AE2" s="310"/>
      <c r="AF2" s="310"/>
      <c r="AG2" s="310"/>
      <c r="AH2" s="310"/>
      <c r="AI2" s="310"/>
      <c r="AJ2" s="310"/>
      <c r="AK2" s="310"/>
      <c r="AL2" s="310"/>
      <c r="AM2" s="310"/>
      <c r="AP2" s="310"/>
      <c r="AQ2" s="310"/>
      <c r="AR2" s="310"/>
      <c r="AS2" s="310"/>
      <c r="AT2" s="310"/>
      <c r="AU2" s="310"/>
      <c r="AV2" s="310"/>
      <c r="AW2" s="310"/>
      <c r="AX2" s="974"/>
      <c r="AY2" s="974" t="s">
        <v>144</v>
      </c>
    </row>
    <row r="3" spans="1:51" x14ac:dyDescent="0.3">
      <c r="A3" s="314"/>
      <c r="B3" s="308">
        <v>41639</v>
      </c>
      <c r="C3" s="308">
        <v>41699</v>
      </c>
      <c r="D3" s="308">
        <v>41791</v>
      </c>
      <c r="E3" s="308">
        <v>41883</v>
      </c>
      <c r="F3" s="308">
        <v>41974</v>
      </c>
      <c r="G3" s="308">
        <v>42066</v>
      </c>
      <c r="H3" s="308">
        <v>42158</v>
      </c>
      <c r="I3" s="307" t="s">
        <v>95</v>
      </c>
      <c r="J3" s="307" t="s">
        <v>94</v>
      </c>
      <c r="K3" s="307" t="s">
        <v>93</v>
      </c>
      <c r="L3" s="307" t="s">
        <v>92</v>
      </c>
      <c r="M3" s="307" t="s">
        <v>91</v>
      </c>
      <c r="N3" s="307" t="s">
        <v>90</v>
      </c>
      <c r="O3" s="307" t="s">
        <v>89</v>
      </c>
      <c r="P3" s="307" t="s">
        <v>88</v>
      </c>
      <c r="Q3" s="307" t="s">
        <v>87</v>
      </c>
      <c r="R3" s="307" t="s">
        <v>86</v>
      </c>
      <c r="S3" s="307" t="s">
        <v>85</v>
      </c>
      <c r="T3" s="307" t="s">
        <v>84</v>
      </c>
      <c r="U3" s="307" t="s">
        <v>83</v>
      </c>
      <c r="V3" s="307" t="s">
        <v>82</v>
      </c>
      <c r="W3" s="307" t="s">
        <v>81</v>
      </c>
      <c r="X3" s="307" t="s">
        <v>80</v>
      </c>
      <c r="Y3" s="307" t="s">
        <v>79</v>
      </c>
      <c r="Z3" s="307" t="s">
        <v>78</v>
      </c>
      <c r="AA3" s="307" t="s">
        <v>77</v>
      </c>
      <c r="AB3" s="307" t="s">
        <v>76</v>
      </c>
      <c r="AC3" s="307" t="s">
        <v>75</v>
      </c>
      <c r="AD3" s="307" t="s">
        <v>74</v>
      </c>
      <c r="AE3" s="307" t="s">
        <v>73</v>
      </c>
      <c r="AF3" s="307" t="s">
        <v>72</v>
      </c>
      <c r="AG3" s="307" t="s">
        <v>71</v>
      </c>
      <c r="AH3" s="307" t="s">
        <v>70</v>
      </c>
      <c r="AI3" s="307" t="s">
        <v>69</v>
      </c>
      <c r="AJ3" s="307" t="s">
        <v>68</v>
      </c>
      <c r="AK3" s="307" t="s">
        <v>67</v>
      </c>
      <c r="AL3" s="307" t="s">
        <v>66</v>
      </c>
      <c r="AM3" s="307" t="s">
        <v>65</v>
      </c>
      <c r="AN3" s="307" t="s">
        <v>64</v>
      </c>
      <c r="AO3" s="307" t="s">
        <v>63</v>
      </c>
      <c r="AP3" s="307" t="s">
        <v>62</v>
      </c>
      <c r="AQ3" s="307" t="s">
        <v>61</v>
      </c>
      <c r="AR3" s="307" t="s">
        <v>60</v>
      </c>
      <c r="AS3" s="307" t="s">
        <v>59</v>
      </c>
      <c r="AT3" s="307" t="s">
        <v>58</v>
      </c>
      <c r="AU3" s="307" t="s">
        <v>57</v>
      </c>
      <c r="AV3" s="307" t="s">
        <v>56</v>
      </c>
      <c r="AW3" s="307" t="s">
        <v>55</v>
      </c>
      <c r="AX3" s="307" t="s">
        <v>798</v>
      </c>
      <c r="AY3" s="307" t="s">
        <v>893</v>
      </c>
    </row>
    <row r="4" spans="1:51" x14ac:dyDescent="0.3">
      <c r="A4" s="315"/>
      <c r="B4" s="306" t="s">
        <v>54</v>
      </c>
      <c r="C4" s="306" t="s">
        <v>54</v>
      </c>
      <c r="D4" s="306" t="s">
        <v>54</v>
      </c>
      <c r="E4" s="306" t="s">
        <v>54</v>
      </c>
      <c r="F4" s="306" t="s">
        <v>54</v>
      </c>
      <c r="G4" s="306" t="s">
        <v>54</v>
      </c>
      <c r="H4" s="306" t="s">
        <v>54</v>
      </c>
      <c r="I4" s="306" t="s">
        <v>54</v>
      </c>
      <c r="J4" s="306" t="s">
        <v>54</v>
      </c>
      <c r="K4" s="306" t="s">
        <v>54</v>
      </c>
      <c r="L4" s="306" t="s">
        <v>54</v>
      </c>
      <c r="M4" s="306" t="s">
        <v>54</v>
      </c>
      <c r="N4" s="306" t="s">
        <v>54</v>
      </c>
      <c r="O4" s="306" t="s">
        <v>54</v>
      </c>
      <c r="P4" s="306" t="s">
        <v>54</v>
      </c>
      <c r="Q4" s="306" t="s">
        <v>54</v>
      </c>
      <c r="R4" s="306" t="s">
        <v>54</v>
      </c>
      <c r="S4" s="306" t="s">
        <v>54</v>
      </c>
      <c r="T4" s="306" t="s">
        <v>54</v>
      </c>
      <c r="U4" s="306" t="s">
        <v>54</v>
      </c>
      <c r="V4" s="306" t="s">
        <v>54</v>
      </c>
      <c r="W4" s="306" t="s">
        <v>54</v>
      </c>
      <c r="X4" s="306" t="s">
        <v>54</v>
      </c>
      <c r="Y4" s="306" t="s">
        <v>54</v>
      </c>
      <c r="Z4" s="306" t="s">
        <v>54</v>
      </c>
      <c r="AA4" s="306" t="s">
        <v>54</v>
      </c>
      <c r="AB4" s="306" t="s">
        <v>54</v>
      </c>
      <c r="AC4" s="306" t="s">
        <v>54</v>
      </c>
      <c r="AD4" s="306" t="s">
        <v>54</v>
      </c>
      <c r="AE4" s="306" t="s">
        <v>54</v>
      </c>
      <c r="AF4" s="306" t="s">
        <v>54</v>
      </c>
      <c r="AG4" s="306" t="s">
        <v>54</v>
      </c>
      <c r="AH4" s="306" t="s">
        <v>54</v>
      </c>
      <c r="AI4" s="306" t="s">
        <v>54</v>
      </c>
      <c r="AJ4" s="306" t="s">
        <v>54</v>
      </c>
      <c r="AK4" s="306" t="s">
        <v>54</v>
      </c>
      <c r="AL4" s="306" t="s">
        <v>54</v>
      </c>
      <c r="AM4" s="306" t="s">
        <v>54</v>
      </c>
      <c r="AN4" s="306" t="s">
        <v>54</v>
      </c>
      <c r="AO4" s="306" t="s">
        <v>54</v>
      </c>
      <c r="AP4" s="306" t="s">
        <v>54</v>
      </c>
      <c r="AQ4" s="306" t="s">
        <v>54</v>
      </c>
      <c r="AR4" s="306" t="s">
        <v>54</v>
      </c>
      <c r="AS4" s="306" t="s">
        <v>54</v>
      </c>
      <c r="AT4" s="306" t="s">
        <v>54</v>
      </c>
      <c r="AU4" s="306" t="s">
        <v>54</v>
      </c>
      <c r="AV4" s="306" t="s">
        <v>54</v>
      </c>
      <c r="AW4" s="306" t="s">
        <v>54</v>
      </c>
      <c r="AX4" s="306" t="s">
        <v>54</v>
      </c>
      <c r="AY4" s="306" t="s">
        <v>53</v>
      </c>
    </row>
    <row r="5" spans="1:51" x14ac:dyDescent="0.3">
      <c r="A5" s="314"/>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305"/>
      <c r="AS5" s="305"/>
      <c r="AT5" s="305"/>
      <c r="AU5" s="305"/>
      <c r="AV5" s="305"/>
      <c r="AW5" s="305"/>
      <c r="AX5" s="305"/>
      <c r="AY5" s="305"/>
    </row>
    <row r="6" spans="1:51" x14ac:dyDescent="0.3">
      <c r="A6" s="304" t="s">
        <v>445</v>
      </c>
      <c r="B6" s="303">
        <v>47162</v>
      </c>
      <c r="C6" s="303">
        <v>48764</v>
      </c>
      <c r="D6" s="303">
        <v>51456</v>
      </c>
      <c r="E6" s="303">
        <v>51301</v>
      </c>
      <c r="F6" s="303">
        <v>51429</v>
      </c>
      <c r="G6" s="303">
        <v>56004</v>
      </c>
      <c r="H6" s="303">
        <v>54711</v>
      </c>
      <c r="I6" s="303">
        <v>54552</v>
      </c>
      <c r="J6" s="303">
        <v>54676</v>
      </c>
      <c r="K6" s="303">
        <v>54024</v>
      </c>
      <c r="L6" s="303">
        <v>53464</v>
      </c>
      <c r="M6" s="303">
        <v>53104</v>
      </c>
      <c r="N6" s="303">
        <v>51637</v>
      </c>
      <c r="O6" s="303">
        <v>46103</v>
      </c>
      <c r="P6" s="303">
        <v>46231</v>
      </c>
      <c r="Q6" s="303">
        <v>45015.399999999994</v>
      </c>
      <c r="R6" s="303">
        <v>45128.2</v>
      </c>
      <c r="S6" s="303">
        <v>44543.8</v>
      </c>
      <c r="T6" s="303">
        <v>44538.100000000006</v>
      </c>
      <c r="U6" s="303">
        <v>42078.3</v>
      </c>
      <c r="V6" s="303">
        <v>41414.35</v>
      </c>
      <c r="W6" s="303">
        <v>40256.299999999996</v>
      </c>
      <c r="X6" s="303">
        <v>40257.5</v>
      </c>
      <c r="Y6" s="303">
        <v>39203.100000000006</v>
      </c>
      <c r="Z6" s="303">
        <v>39592</v>
      </c>
      <c r="AA6" s="303">
        <v>33621.75</v>
      </c>
      <c r="AB6" s="303">
        <v>43688.3</v>
      </c>
      <c r="AC6" s="303">
        <v>58955.5</v>
      </c>
      <c r="AD6" s="303">
        <v>59786.85</v>
      </c>
      <c r="AE6" s="303">
        <v>70093.100000000006</v>
      </c>
      <c r="AF6" s="303">
        <v>71939.8</v>
      </c>
      <c r="AG6" s="303">
        <v>77636.100000000006</v>
      </c>
      <c r="AH6" s="303">
        <v>77013.850000000006</v>
      </c>
      <c r="AI6" s="303">
        <v>76262.850000000006</v>
      </c>
      <c r="AJ6" s="303">
        <v>73172.099999999991</v>
      </c>
      <c r="AK6" s="303">
        <v>67395.5</v>
      </c>
      <c r="AL6" s="303">
        <v>81788.150000000009</v>
      </c>
      <c r="AM6" s="303">
        <v>85842.6</v>
      </c>
      <c r="AN6" s="303">
        <v>83873.75</v>
      </c>
      <c r="AO6" s="303">
        <v>79518.25</v>
      </c>
      <c r="AP6" s="303">
        <v>83946.95</v>
      </c>
      <c r="AQ6" s="303">
        <v>85550</v>
      </c>
      <c r="AR6" s="303">
        <v>85459.95</v>
      </c>
      <c r="AS6" s="303">
        <v>97020.4</v>
      </c>
      <c r="AT6" s="303">
        <v>96733</v>
      </c>
      <c r="AU6" s="303">
        <v>94550</v>
      </c>
      <c r="AV6" s="303">
        <v>97128</v>
      </c>
      <c r="AW6" s="303">
        <v>96993</v>
      </c>
      <c r="AX6" s="303">
        <v>98826</v>
      </c>
      <c r="AY6" s="303">
        <v>98801</v>
      </c>
    </row>
    <row r="7" spans="1:51" x14ac:dyDescent="0.3">
      <c r="A7" s="128"/>
      <c r="B7" s="302"/>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2"/>
      <c r="AX7" s="302"/>
      <c r="AY7" s="302"/>
    </row>
    <row r="8" spans="1:51" x14ac:dyDescent="0.3">
      <c r="A8" s="299" t="s">
        <v>446</v>
      </c>
      <c r="B8" s="300">
        <v>3232</v>
      </c>
      <c r="C8" s="300">
        <v>3374</v>
      </c>
      <c r="D8" s="300">
        <v>3453</v>
      </c>
      <c r="E8" s="300">
        <v>3629</v>
      </c>
      <c r="F8" s="300">
        <v>2677</v>
      </c>
      <c r="G8" s="300">
        <v>2720</v>
      </c>
      <c r="H8" s="300">
        <v>2610</v>
      </c>
      <c r="I8" s="300">
        <v>2625</v>
      </c>
      <c r="J8" s="300">
        <v>2731</v>
      </c>
      <c r="K8" s="300">
        <v>2922</v>
      </c>
      <c r="L8" s="300">
        <v>2908</v>
      </c>
      <c r="M8" s="300">
        <v>7405</v>
      </c>
      <c r="N8" s="300">
        <v>7239</v>
      </c>
      <c r="O8" s="300">
        <v>3140</v>
      </c>
      <c r="P8" s="300">
        <v>3127</v>
      </c>
      <c r="Q8" s="300">
        <v>3565.2</v>
      </c>
      <c r="R8" s="300">
        <v>3593.2</v>
      </c>
      <c r="S8" s="300">
        <v>4255.2</v>
      </c>
      <c r="T8" s="300">
        <v>4585.3</v>
      </c>
      <c r="U8" s="300">
        <v>4394.2999999999993</v>
      </c>
      <c r="V8" s="300">
        <v>4192.3999999999996</v>
      </c>
      <c r="W8" s="300">
        <v>4212.7999999999993</v>
      </c>
      <c r="X8" s="300">
        <v>4295.3</v>
      </c>
      <c r="Y8" s="300">
        <v>4290</v>
      </c>
      <c r="Z8" s="300">
        <v>11102</v>
      </c>
      <c r="AA8" s="300">
        <v>4770</v>
      </c>
      <c r="AB8" s="300">
        <v>4818.95</v>
      </c>
      <c r="AC8" s="300">
        <v>5026.95</v>
      </c>
      <c r="AD8" s="300">
        <v>4877.6000000000004</v>
      </c>
      <c r="AE8" s="300">
        <v>4645.1000000000004</v>
      </c>
      <c r="AF8" s="300">
        <v>4318.7</v>
      </c>
      <c r="AG8" s="300">
        <v>5014.3500000000004</v>
      </c>
      <c r="AH8" s="300">
        <v>5069.45</v>
      </c>
      <c r="AI8" s="300">
        <v>5056.3499999999995</v>
      </c>
      <c r="AJ8" s="300">
        <v>4242.3500000000004</v>
      </c>
      <c r="AK8" s="300">
        <v>3822.2</v>
      </c>
      <c r="AL8" s="300">
        <v>15069.45</v>
      </c>
      <c r="AM8" s="300">
        <v>15965.3</v>
      </c>
      <c r="AN8" s="300">
        <v>3775.1</v>
      </c>
      <c r="AO8" s="300">
        <v>3422.05</v>
      </c>
      <c r="AP8" s="300">
        <v>3306</v>
      </c>
      <c r="AQ8" s="300">
        <v>3785.1</v>
      </c>
      <c r="AR8" s="300">
        <v>3546.8</v>
      </c>
      <c r="AS8" s="300">
        <v>3981.5</v>
      </c>
      <c r="AT8" s="300">
        <v>4010</v>
      </c>
      <c r="AU8" s="300">
        <v>4058</v>
      </c>
      <c r="AV8" s="300">
        <v>4460.96</v>
      </c>
      <c r="AW8" s="300">
        <v>4780</v>
      </c>
      <c r="AX8" s="300">
        <v>4930</v>
      </c>
      <c r="AY8" s="300">
        <v>5810</v>
      </c>
    </row>
    <row r="9" spans="1:51" x14ac:dyDescent="0.3">
      <c r="A9" s="299"/>
      <c r="B9" s="300"/>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300"/>
      <c r="AP9" s="300"/>
      <c r="AQ9" s="300"/>
      <c r="AR9" s="300"/>
      <c r="AS9" s="300"/>
      <c r="AT9" s="300"/>
      <c r="AU9" s="300"/>
      <c r="AV9" s="300"/>
      <c r="AW9" s="300"/>
      <c r="AX9" s="300"/>
      <c r="AY9" s="300"/>
    </row>
    <row r="10" spans="1:51" x14ac:dyDescent="0.3">
      <c r="A10" s="299" t="s">
        <v>443</v>
      </c>
      <c r="B10" s="301">
        <v>17440</v>
      </c>
      <c r="C10" s="301">
        <v>18785</v>
      </c>
      <c r="D10" s="301">
        <v>18841</v>
      </c>
      <c r="E10" s="301">
        <v>19969</v>
      </c>
      <c r="F10" s="301">
        <v>20026</v>
      </c>
      <c r="G10" s="301">
        <v>21191</v>
      </c>
      <c r="H10" s="301">
        <v>20952</v>
      </c>
      <c r="I10" s="301">
        <v>21990</v>
      </c>
      <c r="J10" s="301">
        <v>21957</v>
      </c>
      <c r="K10" s="301">
        <v>22770</v>
      </c>
      <c r="L10" s="301">
        <v>22895</v>
      </c>
      <c r="M10" s="301">
        <v>21933</v>
      </c>
      <c r="N10" s="301">
        <v>21563</v>
      </c>
      <c r="O10" s="301">
        <v>21670</v>
      </c>
      <c r="P10" s="301">
        <v>21906</v>
      </c>
      <c r="Q10" s="301">
        <v>21605.599999999999</v>
      </c>
      <c r="R10" s="301">
        <v>21557.399999999998</v>
      </c>
      <c r="S10" s="301">
        <v>21373.3</v>
      </c>
      <c r="T10" s="301">
        <v>23054.500000000004</v>
      </c>
      <c r="U10" s="301">
        <v>20328.7</v>
      </c>
      <c r="V10" s="301">
        <v>21214.05</v>
      </c>
      <c r="W10" s="301">
        <v>21052.6</v>
      </c>
      <c r="X10" s="301">
        <v>21359.3</v>
      </c>
      <c r="Y10" s="301">
        <v>21117.9</v>
      </c>
      <c r="Z10" s="301">
        <v>18218</v>
      </c>
      <c r="AA10" s="301">
        <v>16431.349999999999</v>
      </c>
      <c r="AB10" s="301">
        <v>16644.449999999997</v>
      </c>
      <c r="AC10" s="301">
        <v>17381.349999999999</v>
      </c>
      <c r="AD10" s="301">
        <v>18175.349999999999</v>
      </c>
      <c r="AE10" s="301">
        <v>20400.800000000003</v>
      </c>
      <c r="AF10" s="301">
        <v>20409.150000000001</v>
      </c>
      <c r="AG10" s="301">
        <v>19042.95</v>
      </c>
      <c r="AH10" s="301">
        <v>19687.5</v>
      </c>
      <c r="AI10" s="301">
        <v>19399.800000000003</v>
      </c>
      <c r="AJ10" s="301">
        <v>18472.849999999999</v>
      </c>
      <c r="AK10" s="301">
        <v>17410.100000000002</v>
      </c>
      <c r="AL10" s="301">
        <v>17975.900000000001</v>
      </c>
      <c r="AM10" s="301">
        <v>19016.999999999996</v>
      </c>
      <c r="AN10" s="301">
        <v>18032.55</v>
      </c>
      <c r="AO10" s="301">
        <v>17118.699999999997</v>
      </c>
      <c r="AP10" s="301">
        <v>18443.599999999999</v>
      </c>
      <c r="AQ10" s="301">
        <v>19048.099999999999</v>
      </c>
      <c r="AR10" s="301">
        <v>19327.399999999998</v>
      </c>
      <c r="AS10" s="301">
        <v>19974.900000000001</v>
      </c>
      <c r="AT10" s="301">
        <v>19290</v>
      </c>
      <c r="AU10" s="301">
        <v>20370.63</v>
      </c>
      <c r="AV10" s="301">
        <v>26750.23</v>
      </c>
      <c r="AW10" s="301">
        <v>20905</v>
      </c>
      <c r="AX10" s="301">
        <v>21461</v>
      </c>
      <c r="AY10" s="301">
        <v>22382</v>
      </c>
    </row>
    <row r="11" spans="1:51" x14ac:dyDescent="0.3">
      <c r="A11" s="299"/>
      <c r="B11" s="300"/>
      <c r="C11" s="300"/>
      <c r="D11" s="300"/>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B11" s="300"/>
      <c r="AC11" s="300"/>
      <c r="AD11" s="300"/>
      <c r="AE11" s="300"/>
      <c r="AF11" s="300"/>
      <c r="AG11" s="300"/>
      <c r="AH11" s="300"/>
      <c r="AI11" s="300"/>
      <c r="AJ11" s="300"/>
      <c r="AK11" s="300"/>
      <c r="AL11" s="300"/>
      <c r="AM11" s="300"/>
      <c r="AN11" s="300"/>
      <c r="AO11" s="300"/>
      <c r="AP11" s="300"/>
      <c r="AQ11" s="300"/>
      <c r="AR11" s="300"/>
      <c r="AS11" s="300"/>
      <c r="AT11" s="300"/>
      <c r="AU11" s="300"/>
      <c r="AV11" s="300"/>
      <c r="AW11" s="300"/>
      <c r="AX11" s="300"/>
      <c r="AY11" s="300"/>
    </row>
    <row r="12" spans="1:51" x14ac:dyDescent="0.3">
      <c r="A12" s="299" t="s">
        <v>442</v>
      </c>
      <c r="B12" s="298">
        <v>26490</v>
      </c>
      <c r="C12" s="298">
        <v>26605</v>
      </c>
      <c r="D12" s="298">
        <v>29162</v>
      </c>
      <c r="E12" s="298">
        <v>27703</v>
      </c>
      <c r="F12" s="298">
        <v>28726</v>
      </c>
      <c r="G12" s="298">
        <v>32093</v>
      </c>
      <c r="H12" s="298">
        <v>31149</v>
      </c>
      <c r="I12" s="298">
        <v>29937</v>
      </c>
      <c r="J12" s="298">
        <v>29988</v>
      </c>
      <c r="K12" s="298">
        <v>28332</v>
      </c>
      <c r="L12" s="298">
        <v>27661</v>
      </c>
      <c r="M12" s="298">
        <v>23766</v>
      </c>
      <c r="N12" s="298">
        <v>22835</v>
      </c>
      <c r="O12" s="298">
        <v>21293</v>
      </c>
      <c r="P12" s="298">
        <v>21198</v>
      </c>
      <c r="Q12" s="298">
        <v>19844.599999999999</v>
      </c>
      <c r="R12" s="298">
        <v>19977.599999999999</v>
      </c>
      <c r="S12" s="298">
        <v>18915.3</v>
      </c>
      <c r="T12" s="298">
        <v>16898.3</v>
      </c>
      <c r="U12" s="298">
        <v>17355.3</v>
      </c>
      <c r="V12" s="298">
        <v>16007.9</v>
      </c>
      <c r="W12" s="298">
        <v>14990.9</v>
      </c>
      <c r="X12" s="298">
        <v>14602.9</v>
      </c>
      <c r="Y12" s="298">
        <v>13795.2</v>
      </c>
      <c r="Z12" s="298">
        <v>10272</v>
      </c>
      <c r="AA12" s="298">
        <v>12420.4</v>
      </c>
      <c r="AB12" s="298">
        <v>22224.9</v>
      </c>
      <c r="AC12" s="298">
        <v>36547.199999999997</v>
      </c>
      <c r="AD12" s="298">
        <v>36733.9</v>
      </c>
      <c r="AE12" s="298">
        <v>45047.199999999997</v>
      </c>
      <c r="AF12" s="298">
        <v>47211.950000000004</v>
      </c>
      <c r="AG12" s="298">
        <v>53578.8</v>
      </c>
      <c r="AH12" s="298">
        <v>52256.9</v>
      </c>
      <c r="AI12" s="298">
        <v>51806.700000000004</v>
      </c>
      <c r="AJ12" s="298">
        <v>50456.899999999994</v>
      </c>
      <c r="AK12" s="298">
        <v>46163.199999999997</v>
      </c>
      <c r="AL12" s="298">
        <v>48742.8</v>
      </c>
      <c r="AM12" s="298">
        <v>50860.3</v>
      </c>
      <c r="AN12" s="298">
        <v>62066.1</v>
      </c>
      <c r="AO12" s="298">
        <v>58977.5</v>
      </c>
      <c r="AP12" s="298">
        <v>62197.35</v>
      </c>
      <c r="AQ12" s="298">
        <v>62716.800000000003</v>
      </c>
      <c r="AR12" s="298">
        <v>62585.75</v>
      </c>
      <c r="AS12" s="298">
        <v>73064</v>
      </c>
      <c r="AT12" s="298">
        <v>73433</v>
      </c>
      <c r="AU12" s="298">
        <v>70121.37</v>
      </c>
      <c r="AV12" s="298">
        <v>65916.81</v>
      </c>
      <c r="AW12" s="298">
        <v>71308</v>
      </c>
      <c r="AX12" s="298">
        <v>72435</v>
      </c>
      <c r="AY12" s="298">
        <v>70609</v>
      </c>
    </row>
    <row r="13" spans="1:51" ht="20.25" customHeight="1" x14ac:dyDescent="0.3">
      <c r="A13" s="313" t="s">
        <v>179</v>
      </c>
      <c r="B13" s="312">
        <v>4493</v>
      </c>
      <c r="C13" s="312">
        <v>4497</v>
      </c>
      <c r="D13" s="312">
        <v>4525</v>
      </c>
      <c r="E13" s="312">
        <v>4497</v>
      </c>
      <c r="F13" s="312">
        <v>4449</v>
      </c>
      <c r="G13" s="312">
        <v>4876</v>
      </c>
      <c r="H13" s="312">
        <v>4775</v>
      </c>
      <c r="I13" s="312">
        <v>4831</v>
      </c>
      <c r="J13" s="312">
        <v>4818</v>
      </c>
      <c r="K13" s="312">
        <v>4819</v>
      </c>
      <c r="L13" s="312">
        <v>4804</v>
      </c>
      <c r="M13" s="312">
        <v>4793</v>
      </c>
      <c r="N13" s="312">
        <v>4672</v>
      </c>
      <c r="O13" s="312">
        <v>4647</v>
      </c>
      <c r="P13" s="312">
        <v>4640</v>
      </c>
      <c r="Q13" s="312">
        <v>4623</v>
      </c>
      <c r="R13" s="312">
        <v>4605</v>
      </c>
      <c r="S13" s="312">
        <v>4677</v>
      </c>
      <c r="T13" s="312">
        <v>4701</v>
      </c>
      <c r="U13" s="312">
        <v>4644</v>
      </c>
      <c r="V13" s="312">
        <v>4611</v>
      </c>
      <c r="W13" s="312">
        <v>4671</v>
      </c>
      <c r="X13" s="312">
        <v>4762</v>
      </c>
      <c r="Y13" s="312">
        <v>4814</v>
      </c>
      <c r="Z13" s="312">
        <v>4899</v>
      </c>
      <c r="AA13" s="312">
        <v>5227</v>
      </c>
      <c r="AB13" s="312">
        <v>5375</v>
      </c>
      <c r="AC13" s="312">
        <v>5457</v>
      </c>
      <c r="AD13" s="312">
        <v>5511</v>
      </c>
      <c r="AE13" s="312">
        <v>5578</v>
      </c>
      <c r="AF13" s="312">
        <v>5888.4</v>
      </c>
      <c r="AG13" s="312">
        <v>14092</v>
      </c>
      <c r="AH13" s="312">
        <v>14201.099999999999</v>
      </c>
      <c r="AI13" s="312">
        <v>14343.400000000001</v>
      </c>
      <c r="AJ13" s="312">
        <v>14073.2</v>
      </c>
      <c r="AK13" s="312">
        <v>13342</v>
      </c>
      <c r="AL13" s="312">
        <v>13617</v>
      </c>
      <c r="AM13" s="312">
        <v>14454</v>
      </c>
      <c r="AN13" s="312">
        <v>14274</v>
      </c>
      <c r="AO13" s="312">
        <v>13648</v>
      </c>
      <c r="AP13" s="312">
        <v>13855</v>
      </c>
      <c r="AQ13" s="312">
        <v>14399</v>
      </c>
      <c r="AR13" s="312">
        <v>14579</v>
      </c>
      <c r="AS13" s="312">
        <v>14556</v>
      </c>
      <c r="AT13" s="312">
        <v>14380</v>
      </c>
      <c r="AU13" s="312">
        <v>14141</v>
      </c>
      <c r="AV13" s="312">
        <v>14502</v>
      </c>
      <c r="AW13" s="312">
        <v>14630</v>
      </c>
      <c r="AX13" s="312">
        <v>14846</v>
      </c>
      <c r="AY13" s="312">
        <v>14941</v>
      </c>
    </row>
    <row r="14" spans="1:51" x14ac:dyDescent="0.3">
      <c r="B14" s="162"/>
    </row>
    <row r="15" spans="1:51" ht="28.25" customHeight="1" x14ac:dyDescent="0.3">
      <c r="A15" s="1266" t="s">
        <v>791</v>
      </c>
      <c r="B15" s="1266"/>
      <c r="C15" s="1266"/>
      <c r="D15" s="1266"/>
      <c r="E15" s="1266"/>
      <c r="F15" s="1266"/>
      <c r="G15" s="1266"/>
      <c r="H15" s="1266"/>
      <c r="I15" s="1266"/>
      <c r="J15" s="1266"/>
      <c r="K15" s="1266"/>
      <c r="L15" s="1266"/>
      <c r="M15" s="1266"/>
      <c r="N15" s="1266"/>
      <c r="O15" s="1266"/>
      <c r="P15" s="1266"/>
      <c r="Q15" s="1266"/>
      <c r="R15" s="1266"/>
      <c r="S15" s="1266"/>
      <c r="T15" s="1266"/>
      <c r="U15" s="1266"/>
      <c r="V15" s="1266"/>
      <c r="W15" s="1266"/>
      <c r="X15" s="1266"/>
      <c r="Y15" s="1266"/>
      <c r="Z15" s="1266"/>
      <c r="AA15" s="1266"/>
      <c r="AB15" s="1266"/>
      <c r="AC15" s="1266"/>
      <c r="AD15" s="1266"/>
      <c r="AE15" s="1266"/>
      <c r="AF15" s="1266"/>
      <c r="AG15" s="1266"/>
      <c r="AH15" s="1266"/>
      <c r="AI15" s="1266"/>
      <c r="AJ15" s="1266"/>
      <c r="AK15" s="1266"/>
      <c r="AL15" s="1266"/>
      <c r="AM15" s="1266"/>
      <c r="AN15" s="1266"/>
      <c r="AO15" s="1266"/>
      <c r="AP15" s="1266"/>
      <c r="AQ15" s="1266"/>
      <c r="AR15" s="1266"/>
      <c r="AS15" s="1266"/>
      <c r="AT15" s="1266"/>
      <c r="AU15" s="1266"/>
      <c r="AV15" s="1266"/>
      <c r="AW15" s="1266"/>
      <c r="AX15" s="1266"/>
      <c r="AY15" s="1266"/>
    </row>
    <row r="16" spans="1:51" ht="17.399999999999999" customHeight="1" x14ac:dyDescent="0.3">
      <c r="B16" s="311"/>
      <c r="C16" s="311"/>
      <c r="D16" s="311"/>
      <c r="E16" s="311"/>
      <c r="F16" s="311"/>
      <c r="G16" s="311"/>
      <c r="H16" s="311"/>
      <c r="I16" s="311"/>
      <c r="J16" s="311"/>
      <c r="K16" s="311"/>
      <c r="L16" s="311"/>
      <c r="M16" s="310"/>
      <c r="N16" s="310"/>
      <c r="O16" s="310"/>
      <c r="P16" s="310"/>
      <c r="Q16" s="310"/>
      <c r="S16" s="310"/>
      <c r="T16" s="310"/>
      <c r="U16" s="310"/>
      <c r="V16" s="310"/>
      <c r="W16" s="310"/>
      <c r="X16" s="310"/>
      <c r="Y16" s="310"/>
      <c r="Z16" s="310"/>
      <c r="AA16" s="310"/>
      <c r="AB16" s="310"/>
      <c r="AC16" s="310"/>
      <c r="AD16" s="310"/>
      <c r="AE16" s="310"/>
      <c r="AF16" s="310"/>
      <c r="AG16" s="310"/>
      <c r="AH16" s="310"/>
      <c r="AI16" s="310"/>
      <c r="AJ16" s="310"/>
      <c r="AK16" s="310"/>
      <c r="AL16" s="310"/>
      <c r="AM16" s="310"/>
      <c r="AP16" s="310"/>
      <c r="AQ16" s="310"/>
      <c r="AR16" s="310"/>
      <c r="AS16" s="310"/>
      <c r="AT16" s="310"/>
      <c r="AU16" s="310"/>
      <c r="AV16" s="310"/>
      <c r="AW16" s="310"/>
      <c r="AX16" s="974"/>
      <c r="AY16" s="974" t="s">
        <v>144</v>
      </c>
    </row>
    <row r="17" spans="1:51" ht="17.399999999999999" customHeight="1" x14ac:dyDescent="0.3">
      <c r="A17" s="309"/>
      <c r="B17" s="308">
        <v>41639</v>
      </c>
      <c r="C17" s="308">
        <v>41699</v>
      </c>
      <c r="D17" s="308">
        <v>41791</v>
      </c>
      <c r="E17" s="308">
        <v>41883</v>
      </c>
      <c r="F17" s="308">
        <v>41974</v>
      </c>
      <c r="G17" s="308">
        <v>42066</v>
      </c>
      <c r="H17" s="308">
        <v>42158</v>
      </c>
      <c r="I17" s="307" t="s">
        <v>95</v>
      </c>
      <c r="J17" s="307" t="s">
        <v>94</v>
      </c>
      <c r="K17" s="307" t="s">
        <v>93</v>
      </c>
      <c r="L17" s="307" t="s">
        <v>92</v>
      </c>
      <c r="M17" s="307" t="s">
        <v>91</v>
      </c>
      <c r="N17" s="307" t="s">
        <v>90</v>
      </c>
      <c r="O17" s="307" t="s">
        <v>89</v>
      </c>
      <c r="P17" s="307" t="s">
        <v>88</v>
      </c>
      <c r="Q17" s="307" t="s">
        <v>87</v>
      </c>
      <c r="R17" s="307" t="s">
        <v>86</v>
      </c>
      <c r="S17" s="307" t="s">
        <v>85</v>
      </c>
      <c r="T17" s="307" t="s">
        <v>84</v>
      </c>
      <c r="U17" s="307" t="s">
        <v>83</v>
      </c>
      <c r="V17" s="307" t="s">
        <v>82</v>
      </c>
      <c r="W17" s="307" t="s">
        <v>81</v>
      </c>
      <c r="X17" s="307" t="s">
        <v>80</v>
      </c>
      <c r="Y17" s="307" t="s">
        <v>79</v>
      </c>
      <c r="Z17" s="307" t="s">
        <v>78</v>
      </c>
      <c r="AA17" s="307" t="s">
        <v>77</v>
      </c>
      <c r="AB17" s="307" t="s">
        <v>76</v>
      </c>
      <c r="AC17" s="307" t="s">
        <v>75</v>
      </c>
      <c r="AD17" s="307" t="s">
        <v>74</v>
      </c>
      <c r="AE17" s="307" t="s">
        <v>73</v>
      </c>
      <c r="AF17" s="307" t="s">
        <v>72</v>
      </c>
      <c r="AG17" s="307" t="s">
        <v>71</v>
      </c>
      <c r="AH17" s="307" t="s">
        <v>70</v>
      </c>
      <c r="AI17" s="307" t="s">
        <v>69</v>
      </c>
      <c r="AJ17" s="307" t="s">
        <v>68</v>
      </c>
      <c r="AK17" s="307" t="s">
        <v>67</v>
      </c>
      <c r="AL17" s="307" t="s">
        <v>66</v>
      </c>
      <c r="AM17" s="307" t="s">
        <v>65</v>
      </c>
      <c r="AN17" s="307" t="s">
        <v>64</v>
      </c>
      <c r="AO17" s="307" t="s">
        <v>63</v>
      </c>
      <c r="AP17" s="307" t="s">
        <v>62</v>
      </c>
      <c r="AQ17" s="307" t="s">
        <v>61</v>
      </c>
      <c r="AR17" s="307" t="s">
        <v>60</v>
      </c>
      <c r="AS17" s="307" t="s">
        <v>59</v>
      </c>
      <c r="AT17" s="307" t="s">
        <v>58</v>
      </c>
      <c r="AU17" s="307" t="s">
        <v>57</v>
      </c>
      <c r="AV17" s="307" t="s">
        <v>56</v>
      </c>
      <c r="AW17" s="307" t="s">
        <v>55</v>
      </c>
      <c r="AX17" s="307" t="s">
        <v>798</v>
      </c>
      <c r="AY17" s="307" t="s">
        <v>893</v>
      </c>
    </row>
    <row r="18" spans="1:51" x14ac:dyDescent="0.3">
      <c r="A18" s="128"/>
      <c r="B18" s="306" t="s">
        <v>54</v>
      </c>
      <c r="C18" s="306" t="s">
        <v>54</v>
      </c>
      <c r="D18" s="306" t="s">
        <v>54</v>
      </c>
      <c r="E18" s="306" t="s">
        <v>54</v>
      </c>
      <c r="F18" s="306" t="s">
        <v>54</v>
      </c>
      <c r="G18" s="306" t="s">
        <v>54</v>
      </c>
      <c r="H18" s="306" t="s">
        <v>54</v>
      </c>
      <c r="I18" s="306" t="s">
        <v>54</v>
      </c>
      <c r="J18" s="306" t="s">
        <v>54</v>
      </c>
      <c r="K18" s="306" t="s">
        <v>54</v>
      </c>
      <c r="L18" s="306" t="s">
        <v>54</v>
      </c>
      <c r="M18" s="306" t="s">
        <v>54</v>
      </c>
      <c r="N18" s="306" t="s">
        <v>54</v>
      </c>
      <c r="O18" s="306" t="s">
        <v>54</v>
      </c>
      <c r="P18" s="306" t="s">
        <v>54</v>
      </c>
      <c r="Q18" s="306" t="s">
        <v>54</v>
      </c>
      <c r="R18" s="306" t="s">
        <v>54</v>
      </c>
      <c r="S18" s="306" t="s">
        <v>54</v>
      </c>
      <c r="T18" s="306" t="s">
        <v>54</v>
      </c>
      <c r="U18" s="306" t="s">
        <v>54</v>
      </c>
      <c r="V18" s="306" t="s">
        <v>54</v>
      </c>
      <c r="W18" s="306" t="s">
        <v>54</v>
      </c>
      <c r="X18" s="306" t="s">
        <v>54</v>
      </c>
      <c r="Y18" s="306" t="s">
        <v>54</v>
      </c>
      <c r="Z18" s="306" t="s">
        <v>54</v>
      </c>
      <c r="AA18" s="306" t="s">
        <v>54</v>
      </c>
      <c r="AB18" s="306" t="s">
        <v>54</v>
      </c>
      <c r="AC18" s="306" t="s">
        <v>54</v>
      </c>
      <c r="AD18" s="306" t="s">
        <v>54</v>
      </c>
      <c r="AE18" s="306" t="s">
        <v>54</v>
      </c>
      <c r="AF18" s="306" t="s">
        <v>54</v>
      </c>
      <c r="AG18" s="306" t="s">
        <v>54</v>
      </c>
      <c r="AH18" s="306" t="s">
        <v>54</v>
      </c>
      <c r="AI18" s="306" t="s">
        <v>54</v>
      </c>
      <c r="AJ18" s="306" t="s">
        <v>54</v>
      </c>
      <c r="AK18" s="306" t="s">
        <v>54</v>
      </c>
      <c r="AL18" s="306" t="s">
        <v>54</v>
      </c>
      <c r="AM18" s="306" t="s">
        <v>54</v>
      </c>
      <c r="AN18" s="306" t="s">
        <v>54</v>
      </c>
      <c r="AO18" s="306" t="s">
        <v>54</v>
      </c>
      <c r="AP18" s="306" t="s">
        <v>54</v>
      </c>
      <c r="AQ18" s="306" t="s">
        <v>54</v>
      </c>
      <c r="AR18" s="306" t="s">
        <v>54</v>
      </c>
      <c r="AS18" s="306" t="s">
        <v>54</v>
      </c>
      <c r="AT18" s="306" t="s">
        <v>54</v>
      </c>
      <c r="AU18" s="306" t="s">
        <v>54</v>
      </c>
      <c r="AV18" s="306" t="s">
        <v>54</v>
      </c>
      <c r="AW18" s="306" t="s">
        <v>54</v>
      </c>
      <c r="AX18" s="306" t="s">
        <v>54</v>
      </c>
      <c r="AY18" s="306" t="s">
        <v>53</v>
      </c>
    </row>
    <row r="19" spans="1:51" x14ac:dyDescent="0.3">
      <c r="A19" s="128"/>
      <c r="B19" s="305"/>
      <c r="C19" s="305"/>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5"/>
      <c r="AM19" s="305"/>
      <c r="AN19" s="305"/>
      <c r="AO19" s="305"/>
      <c r="AP19" s="305"/>
      <c r="AQ19" s="305"/>
      <c r="AR19" s="305"/>
      <c r="AS19" s="305"/>
      <c r="AT19" s="305"/>
      <c r="AU19" s="305"/>
      <c r="AV19" s="305"/>
      <c r="AW19" s="305"/>
      <c r="AX19" s="305"/>
      <c r="AY19" s="305"/>
    </row>
    <row r="20" spans="1:51" x14ac:dyDescent="0.3">
      <c r="A20" s="304" t="s">
        <v>445</v>
      </c>
      <c r="B20" s="303">
        <v>10729</v>
      </c>
      <c r="C20" s="303">
        <v>11088</v>
      </c>
      <c r="D20" s="303">
        <v>10987</v>
      </c>
      <c r="E20" s="303">
        <v>11097</v>
      </c>
      <c r="F20" s="303">
        <v>11431</v>
      </c>
      <c r="G20" s="303">
        <v>12685</v>
      </c>
      <c r="H20" s="303">
        <v>12754</v>
      </c>
      <c r="I20" s="303">
        <v>12795</v>
      </c>
      <c r="J20" s="303">
        <v>12800</v>
      </c>
      <c r="K20" s="303">
        <v>12387</v>
      </c>
      <c r="L20" s="303">
        <v>12432</v>
      </c>
      <c r="M20" s="303">
        <v>12569</v>
      </c>
      <c r="N20" s="303">
        <v>12487</v>
      </c>
      <c r="O20" s="303">
        <v>11971</v>
      </c>
      <c r="P20" s="303">
        <v>12711</v>
      </c>
      <c r="Q20" s="303">
        <v>12086</v>
      </c>
      <c r="R20" s="303">
        <v>12258</v>
      </c>
      <c r="S20" s="303">
        <v>11773.400000000001</v>
      </c>
      <c r="T20" s="303">
        <v>12804.1</v>
      </c>
      <c r="U20" s="303">
        <v>12941.7</v>
      </c>
      <c r="V20" s="303">
        <v>12913</v>
      </c>
      <c r="W20" s="303">
        <v>12461.400000000001</v>
      </c>
      <c r="X20" s="303">
        <v>12724</v>
      </c>
      <c r="Y20" s="303">
        <v>12424</v>
      </c>
      <c r="Z20" s="303">
        <v>16534</v>
      </c>
      <c r="AA20" s="303">
        <v>19596</v>
      </c>
      <c r="AB20" s="303">
        <v>21064</v>
      </c>
      <c r="AC20" s="303">
        <v>21630</v>
      </c>
      <c r="AD20" s="303">
        <v>22517</v>
      </c>
      <c r="AE20" s="303">
        <v>23469</v>
      </c>
      <c r="AF20" s="303">
        <v>25693</v>
      </c>
      <c r="AG20" s="303">
        <v>25847</v>
      </c>
      <c r="AH20" s="303">
        <v>26494.27</v>
      </c>
      <c r="AI20" s="303">
        <v>26935.09</v>
      </c>
      <c r="AJ20" s="303">
        <v>28713</v>
      </c>
      <c r="AK20" s="303">
        <v>28979</v>
      </c>
      <c r="AL20" s="303">
        <v>30073</v>
      </c>
      <c r="AM20" s="303">
        <v>31244.299999999996</v>
      </c>
      <c r="AN20" s="303">
        <v>31394</v>
      </c>
      <c r="AO20" s="303">
        <v>29519.199999999997</v>
      </c>
      <c r="AP20" s="303">
        <v>29486.400000000001</v>
      </c>
      <c r="AQ20" s="303">
        <v>30381.5</v>
      </c>
      <c r="AR20" s="303">
        <v>30728</v>
      </c>
      <c r="AS20" s="303">
        <v>28944.1</v>
      </c>
      <c r="AT20" s="303">
        <v>29579.82</v>
      </c>
      <c r="AU20" s="303">
        <v>27825</v>
      </c>
      <c r="AV20" s="303">
        <v>27427</v>
      </c>
      <c r="AW20" s="303">
        <v>27454.219000000001</v>
      </c>
      <c r="AX20" s="303">
        <v>27813</v>
      </c>
      <c r="AY20" s="303">
        <v>27993</v>
      </c>
    </row>
    <row r="21" spans="1:51" x14ac:dyDescent="0.3">
      <c r="A21" s="128"/>
      <c r="B21" s="302"/>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c r="AO21" s="302"/>
      <c r="AP21" s="302"/>
      <c r="AQ21" s="302"/>
      <c r="AR21" s="302"/>
      <c r="AS21" s="302"/>
      <c r="AT21" s="302"/>
      <c r="AU21" s="302"/>
      <c r="AV21" s="302"/>
      <c r="AW21" s="302"/>
      <c r="AX21" s="302"/>
      <c r="AY21" s="302"/>
    </row>
    <row r="22" spans="1:51" x14ac:dyDescent="0.3">
      <c r="A22" s="299" t="s">
        <v>444</v>
      </c>
      <c r="B22" s="300">
        <v>487</v>
      </c>
      <c r="C22" s="300">
        <v>533</v>
      </c>
      <c r="D22" s="300">
        <v>497</v>
      </c>
      <c r="E22" s="300">
        <v>939</v>
      </c>
      <c r="F22" s="300">
        <v>905</v>
      </c>
      <c r="G22" s="300">
        <v>1382</v>
      </c>
      <c r="H22" s="300">
        <v>1362</v>
      </c>
      <c r="I22" s="300">
        <v>1447</v>
      </c>
      <c r="J22" s="300">
        <v>1446</v>
      </c>
      <c r="K22" s="300">
        <v>1449</v>
      </c>
      <c r="L22" s="300">
        <v>1461.8</v>
      </c>
      <c r="M22" s="300">
        <v>1419</v>
      </c>
      <c r="N22" s="300">
        <v>1423</v>
      </c>
      <c r="O22" s="300">
        <v>1406</v>
      </c>
      <c r="P22" s="300">
        <v>1382</v>
      </c>
      <c r="Q22" s="300">
        <v>1363.6</v>
      </c>
      <c r="R22" s="300">
        <v>1358</v>
      </c>
      <c r="S22" s="300">
        <v>1355.8000000000002</v>
      </c>
      <c r="T22" s="300">
        <v>1387</v>
      </c>
      <c r="U22" s="300">
        <v>1416.6000000000001</v>
      </c>
      <c r="V22" s="300">
        <v>1410</v>
      </c>
      <c r="W22" s="300">
        <v>1426.8</v>
      </c>
      <c r="X22" s="300">
        <v>1567</v>
      </c>
      <c r="Y22" s="300">
        <v>1595</v>
      </c>
      <c r="Z22" s="300">
        <v>1484</v>
      </c>
      <c r="AA22" s="300">
        <v>1650</v>
      </c>
      <c r="AB22" s="300">
        <v>1846</v>
      </c>
      <c r="AC22" s="300">
        <v>1860</v>
      </c>
      <c r="AD22" s="300">
        <v>1838</v>
      </c>
      <c r="AE22" s="300">
        <v>1804.4</v>
      </c>
      <c r="AF22" s="300">
        <v>1816</v>
      </c>
      <c r="AG22" s="300">
        <v>1851.3</v>
      </c>
      <c r="AH22" s="300">
        <v>1703</v>
      </c>
      <c r="AI22" s="300">
        <v>1726.8</v>
      </c>
      <c r="AJ22" s="300">
        <v>1763</v>
      </c>
      <c r="AK22" s="300">
        <v>1740.1999999999998</v>
      </c>
      <c r="AL22" s="300">
        <v>1695</v>
      </c>
      <c r="AM22" s="300">
        <v>1772.3</v>
      </c>
      <c r="AN22" s="300">
        <v>1771</v>
      </c>
      <c r="AO22" s="300">
        <v>2066.6000000000004</v>
      </c>
      <c r="AP22" s="300">
        <v>2046</v>
      </c>
      <c r="AQ22" s="300">
        <v>2109</v>
      </c>
      <c r="AR22" s="300">
        <v>2502</v>
      </c>
      <c r="AS22" s="300">
        <v>1904.1999999999998</v>
      </c>
      <c r="AT22" s="300">
        <v>1729</v>
      </c>
      <c r="AU22" s="300">
        <v>1235</v>
      </c>
      <c r="AV22" s="300">
        <v>1218.53</v>
      </c>
      <c r="AW22" s="300">
        <v>1886.8</v>
      </c>
      <c r="AX22" s="300">
        <v>1913</v>
      </c>
      <c r="AY22" s="300">
        <v>2843</v>
      </c>
    </row>
    <row r="23" spans="1:51" x14ac:dyDescent="0.3">
      <c r="A23" s="299"/>
      <c r="B23" s="300"/>
      <c r="C23" s="300"/>
      <c r="D23" s="300"/>
      <c r="E23" s="300"/>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0"/>
      <c r="AL23" s="300"/>
      <c r="AM23" s="300"/>
      <c r="AN23" s="300"/>
      <c r="AO23" s="300"/>
      <c r="AP23" s="300"/>
      <c r="AQ23" s="300"/>
      <c r="AR23" s="300"/>
      <c r="AS23" s="300"/>
      <c r="AT23" s="300"/>
      <c r="AU23" s="300"/>
      <c r="AV23" s="300"/>
      <c r="AW23" s="300"/>
      <c r="AX23" s="300"/>
      <c r="AY23" s="300"/>
    </row>
    <row r="24" spans="1:51" x14ac:dyDescent="0.3">
      <c r="A24" s="299" t="s">
        <v>443</v>
      </c>
      <c r="B24" s="301">
        <v>6739</v>
      </c>
      <c r="C24" s="301">
        <v>7216</v>
      </c>
      <c r="D24" s="301">
        <v>7360</v>
      </c>
      <c r="E24" s="301">
        <v>7436</v>
      </c>
      <c r="F24" s="301">
        <v>7579</v>
      </c>
      <c r="G24" s="301">
        <v>6897</v>
      </c>
      <c r="H24" s="301">
        <v>7590</v>
      </c>
      <c r="I24" s="301">
        <v>7654</v>
      </c>
      <c r="J24" s="301">
        <v>7789</v>
      </c>
      <c r="K24" s="301">
        <v>7372</v>
      </c>
      <c r="L24" s="301">
        <v>7406</v>
      </c>
      <c r="M24" s="301">
        <v>7619</v>
      </c>
      <c r="N24" s="301">
        <v>7727</v>
      </c>
      <c r="O24" s="301">
        <v>7583</v>
      </c>
      <c r="P24" s="301">
        <v>7488</v>
      </c>
      <c r="Q24" s="301">
        <v>7329</v>
      </c>
      <c r="R24" s="300">
        <v>7346</v>
      </c>
      <c r="S24" s="300">
        <v>7267.6</v>
      </c>
      <c r="T24" s="300">
        <v>7536.1</v>
      </c>
      <c r="U24" s="300">
        <v>7476.1000000000013</v>
      </c>
      <c r="V24" s="300">
        <v>7223</v>
      </c>
      <c r="W24" s="300">
        <v>7400.6000000000022</v>
      </c>
      <c r="X24" s="300">
        <v>7453</v>
      </c>
      <c r="Y24" s="300">
        <v>7943</v>
      </c>
      <c r="Z24" s="300">
        <v>7389</v>
      </c>
      <c r="AA24" s="300">
        <v>7930</v>
      </c>
      <c r="AB24" s="300">
        <v>7121.6</v>
      </c>
      <c r="AC24" s="300">
        <v>6839.7</v>
      </c>
      <c r="AD24" s="300">
        <v>6703</v>
      </c>
      <c r="AE24" s="300">
        <v>6642.6000000000013</v>
      </c>
      <c r="AF24" s="300">
        <v>7841</v>
      </c>
      <c r="AG24" s="300">
        <v>7622.0000000000018</v>
      </c>
      <c r="AH24" s="300">
        <v>8603</v>
      </c>
      <c r="AI24" s="300">
        <v>8577.4000000000015</v>
      </c>
      <c r="AJ24" s="300">
        <v>10204</v>
      </c>
      <c r="AK24" s="300">
        <v>10191.799999999999</v>
      </c>
      <c r="AL24" s="300">
        <v>10229</v>
      </c>
      <c r="AM24" s="300">
        <v>9731.9999999999982</v>
      </c>
      <c r="AN24" s="300">
        <v>9726</v>
      </c>
      <c r="AO24" s="300">
        <v>9887.5999999999985</v>
      </c>
      <c r="AP24" s="300">
        <v>8524.7000000000007</v>
      </c>
      <c r="AQ24" s="300">
        <v>10708</v>
      </c>
      <c r="AR24" s="300">
        <v>10266</v>
      </c>
      <c r="AS24" s="300">
        <v>11689.9</v>
      </c>
      <c r="AT24" s="300">
        <v>11068.880000000001</v>
      </c>
      <c r="AU24" s="300">
        <v>11979</v>
      </c>
      <c r="AV24" s="300">
        <v>14256.63</v>
      </c>
      <c r="AW24" s="300">
        <v>11959.93</v>
      </c>
      <c r="AX24" s="300">
        <v>12755</v>
      </c>
      <c r="AY24" s="300">
        <v>12615</v>
      </c>
    </row>
    <row r="25" spans="1:51" x14ac:dyDescent="0.3">
      <c r="A25" s="299"/>
      <c r="B25" s="300"/>
      <c r="C25" s="300"/>
      <c r="D25" s="300"/>
      <c r="E25" s="300"/>
      <c r="F25" s="300"/>
      <c r="G25" s="300"/>
      <c r="H25" s="300"/>
      <c r="I25" s="300"/>
      <c r="J25" s="300"/>
      <c r="K25" s="300"/>
      <c r="L25" s="300"/>
      <c r="M25" s="300"/>
      <c r="N25" s="300"/>
      <c r="O25" s="300"/>
      <c r="P25" s="300"/>
      <c r="Q25" s="300"/>
      <c r="R25" s="300"/>
      <c r="S25" s="300"/>
      <c r="T25" s="300"/>
      <c r="U25" s="300"/>
      <c r="V25" s="300"/>
      <c r="W25" s="300"/>
      <c r="X25" s="300"/>
      <c r="Y25" s="300"/>
      <c r="Z25" s="300"/>
      <c r="AA25" s="300"/>
      <c r="AB25" s="300"/>
      <c r="AC25" s="300"/>
      <c r="AD25" s="300"/>
      <c r="AE25" s="300"/>
      <c r="AF25" s="300"/>
      <c r="AG25" s="300"/>
      <c r="AH25" s="300"/>
      <c r="AI25" s="300"/>
      <c r="AJ25" s="300"/>
      <c r="AK25" s="300"/>
      <c r="AL25" s="300"/>
      <c r="AM25" s="300"/>
      <c r="AN25" s="300"/>
      <c r="AO25" s="300"/>
      <c r="AP25" s="300"/>
      <c r="AQ25" s="300"/>
      <c r="AR25" s="300"/>
      <c r="AS25" s="300"/>
      <c r="AT25" s="300"/>
      <c r="AU25" s="300"/>
      <c r="AV25" s="300"/>
      <c r="AW25" s="300"/>
      <c r="AX25" s="300"/>
      <c r="AY25" s="300"/>
    </row>
    <row r="26" spans="1:51" x14ac:dyDescent="0.3">
      <c r="A26" s="299" t="s">
        <v>442</v>
      </c>
      <c r="B26" s="298">
        <v>3503</v>
      </c>
      <c r="C26" s="298">
        <v>3339</v>
      </c>
      <c r="D26" s="298">
        <v>3130</v>
      </c>
      <c r="E26" s="298">
        <v>2722</v>
      </c>
      <c r="F26" s="298">
        <v>2947</v>
      </c>
      <c r="G26" s="298">
        <v>4406</v>
      </c>
      <c r="H26" s="298">
        <v>3802</v>
      </c>
      <c r="I26" s="298">
        <v>3694</v>
      </c>
      <c r="J26" s="298">
        <v>3565</v>
      </c>
      <c r="K26" s="298">
        <v>3566</v>
      </c>
      <c r="L26" s="298">
        <v>3564.2</v>
      </c>
      <c r="M26" s="298">
        <v>3531</v>
      </c>
      <c r="N26" s="298">
        <v>3337</v>
      </c>
      <c r="O26" s="298">
        <v>2982</v>
      </c>
      <c r="P26" s="298">
        <v>3841</v>
      </c>
      <c r="Q26" s="298">
        <v>3393.4</v>
      </c>
      <c r="R26" s="298">
        <v>3554</v>
      </c>
      <c r="S26" s="298">
        <v>3150</v>
      </c>
      <c r="T26" s="298">
        <v>3881</v>
      </c>
      <c r="U26" s="298">
        <v>4049</v>
      </c>
      <c r="V26" s="298">
        <v>4280</v>
      </c>
      <c r="W26" s="298">
        <v>3634</v>
      </c>
      <c r="X26" s="298">
        <v>3704</v>
      </c>
      <c r="Y26" s="298">
        <v>2886</v>
      </c>
      <c r="Z26" s="298">
        <v>7661</v>
      </c>
      <c r="AA26" s="298">
        <v>10016</v>
      </c>
      <c r="AB26" s="298">
        <v>12096.4</v>
      </c>
      <c r="AC26" s="298">
        <v>12930.3</v>
      </c>
      <c r="AD26" s="298">
        <v>13976</v>
      </c>
      <c r="AE26" s="298">
        <v>15021.999999999996</v>
      </c>
      <c r="AF26" s="298">
        <v>16036</v>
      </c>
      <c r="AG26" s="298">
        <v>16373.7</v>
      </c>
      <c r="AH26" s="298">
        <v>16188.27</v>
      </c>
      <c r="AI26" s="298">
        <v>16630.89</v>
      </c>
      <c r="AJ26" s="298">
        <v>16746</v>
      </c>
      <c r="AK26" s="298">
        <v>17047</v>
      </c>
      <c r="AL26" s="298">
        <v>18149</v>
      </c>
      <c r="AM26" s="298">
        <v>19740</v>
      </c>
      <c r="AN26" s="298">
        <v>19897</v>
      </c>
      <c r="AO26" s="298">
        <v>17565</v>
      </c>
      <c r="AP26" s="298">
        <v>18915.7</v>
      </c>
      <c r="AQ26" s="298">
        <v>17564.5</v>
      </c>
      <c r="AR26" s="298">
        <v>17960</v>
      </c>
      <c r="AS26" s="298">
        <v>15350</v>
      </c>
      <c r="AT26" s="298">
        <v>16781.939999999999</v>
      </c>
      <c r="AU26" s="298">
        <v>14611</v>
      </c>
      <c r="AV26" s="298">
        <v>11951.840000000002</v>
      </c>
      <c r="AW26" s="298">
        <v>13607.489000000001</v>
      </c>
      <c r="AX26" s="298">
        <v>13145</v>
      </c>
      <c r="AY26" s="298">
        <v>12535</v>
      </c>
    </row>
    <row r="27" spans="1:51" x14ac:dyDescent="0.3">
      <c r="A27" s="297"/>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c r="AY27" s="116"/>
    </row>
    <row r="28" spans="1:51" ht="11.25" customHeight="1" x14ac:dyDescent="0.3"/>
    <row r="29" spans="1:51" ht="16.25" customHeight="1" x14ac:dyDescent="0.3">
      <c r="A29" s="1267" t="s">
        <v>441</v>
      </c>
      <c r="B29" s="1267"/>
      <c r="C29" s="1267"/>
      <c r="D29" s="1267"/>
      <c r="E29" s="1267"/>
      <c r="F29" s="1267"/>
      <c r="G29" s="1267"/>
      <c r="H29" s="1267"/>
      <c r="I29" s="1267"/>
      <c r="J29" s="1267"/>
      <c r="K29" s="1267"/>
      <c r="L29" s="1267"/>
      <c r="M29" s="1267"/>
      <c r="N29" s="1267"/>
      <c r="O29" s="1267"/>
      <c r="P29" s="1267"/>
      <c r="Q29" s="1267"/>
      <c r="R29" s="1267"/>
      <c r="S29" s="1267"/>
      <c r="T29" s="1267"/>
      <c r="U29" s="1267"/>
      <c r="V29" s="1267"/>
      <c r="W29" s="1267"/>
      <c r="X29" s="1267"/>
      <c r="Y29" s="1267"/>
      <c r="Z29" s="1267"/>
      <c r="AA29" s="1267"/>
      <c r="AB29" s="1267"/>
      <c r="AC29" s="1267"/>
      <c r="AD29" s="1267"/>
      <c r="AE29" s="1267"/>
      <c r="AF29" s="1267"/>
      <c r="AG29" s="1267"/>
      <c r="AH29" s="1267"/>
      <c r="AI29" s="1267"/>
      <c r="AJ29" s="1267"/>
      <c r="AK29" s="1267"/>
      <c r="AL29" s="1267"/>
      <c r="AM29" s="1267"/>
      <c r="AN29" s="1267"/>
      <c r="AO29" s="1267"/>
      <c r="AP29" s="1267"/>
      <c r="AQ29" s="1267"/>
      <c r="AR29" s="1267"/>
      <c r="AS29" s="1267"/>
      <c r="AT29" s="1267"/>
      <c r="AU29" s="1267"/>
      <c r="AV29" s="1267"/>
      <c r="AW29" s="1267"/>
      <c r="AX29" s="1267"/>
      <c r="AY29" s="1267"/>
    </row>
    <row r="30" spans="1:51" ht="19" customHeight="1" x14ac:dyDescent="0.3">
      <c r="A30" s="1268" t="s">
        <v>440</v>
      </c>
      <c r="B30" s="1268"/>
      <c r="C30" s="1268"/>
      <c r="D30" s="1268"/>
      <c r="E30" s="1268"/>
      <c r="F30" s="1268"/>
      <c r="G30" s="1268"/>
      <c r="H30" s="1268"/>
      <c r="I30" s="1268"/>
      <c r="J30" s="1268"/>
      <c r="K30" s="1268"/>
      <c r="L30" s="1268"/>
      <c r="M30" s="1268"/>
      <c r="N30" s="1268"/>
      <c r="O30" s="1268"/>
      <c r="P30" s="1268"/>
      <c r="Q30" s="1268"/>
      <c r="R30" s="1268"/>
      <c r="S30" s="1268"/>
      <c r="T30" s="1268"/>
      <c r="U30" s="1268"/>
      <c r="V30" s="1268"/>
      <c r="W30" s="1268"/>
      <c r="X30" s="1268"/>
      <c r="Y30" s="1268"/>
      <c r="Z30" s="1268"/>
      <c r="AA30" s="1268"/>
      <c r="AB30" s="1268"/>
      <c r="AC30" s="1268"/>
      <c r="AD30" s="1268"/>
      <c r="AE30" s="1268"/>
      <c r="AF30" s="1268"/>
      <c r="AG30" s="1268"/>
      <c r="AH30" s="1268"/>
      <c r="AI30" s="1268"/>
      <c r="AJ30" s="1268"/>
      <c r="AK30" s="1268"/>
      <c r="AL30" s="1268"/>
      <c r="AM30" s="1268"/>
      <c r="AN30" s="1268"/>
      <c r="AO30" s="1268"/>
      <c r="AP30" s="1268"/>
      <c r="AQ30" s="1268"/>
      <c r="AR30" s="1268"/>
      <c r="AS30" s="1268"/>
      <c r="AT30" s="1268"/>
      <c r="AU30" s="1268"/>
      <c r="AV30" s="1268"/>
      <c r="AW30" s="1268"/>
      <c r="AX30" s="1268"/>
      <c r="AY30" s="1268"/>
    </row>
    <row r="31" spans="1:51" ht="22.75" customHeight="1" x14ac:dyDescent="0.3">
      <c r="A31" s="1265"/>
      <c r="B31" s="1265"/>
      <c r="C31" s="1265"/>
      <c r="D31" s="1265"/>
      <c r="E31" s="1265"/>
      <c r="F31" s="1265"/>
      <c r="G31" s="1265"/>
      <c r="H31" s="1265"/>
      <c r="I31" s="1265"/>
      <c r="J31" s="1265"/>
      <c r="K31" s="1265"/>
      <c r="L31" s="1265"/>
      <c r="M31" s="1265"/>
      <c r="N31" s="1265"/>
      <c r="O31" s="1265"/>
      <c r="P31" s="1265"/>
      <c r="Q31" s="1265"/>
    </row>
    <row r="33" spans="1:1" x14ac:dyDescent="0.3">
      <c r="A33" s="102" t="s">
        <v>439</v>
      </c>
    </row>
  </sheetData>
  <mergeCells count="5">
    <mergeCell ref="A31:Q31"/>
    <mergeCell ref="A1:AY1"/>
    <mergeCell ref="A15:AY15"/>
    <mergeCell ref="A29:AY29"/>
    <mergeCell ref="A30:AY30"/>
  </mergeCells>
  <pageMargins left="0.56000000000000005" right="0.25" top="0.53" bottom="0.75" header="0.3" footer="0.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IQ119"/>
  <sheetViews>
    <sheetView zoomScaleNormal="100" workbookViewId="0">
      <selection activeCell="BG114" sqref="BG114"/>
    </sheetView>
  </sheetViews>
  <sheetFormatPr defaultColWidth="9.08984375" defaultRowHeight="14" x14ac:dyDescent="0.3"/>
  <cols>
    <col min="1" max="1" width="4.90625" style="1150" customWidth="1"/>
    <col min="2" max="2" width="23.08984375" style="1150" hidden="1" customWidth="1"/>
    <col min="3" max="3" width="10.36328125" style="1150" hidden="1" customWidth="1"/>
    <col min="4" max="4" width="15.08984375" style="1150" hidden="1" customWidth="1"/>
    <col min="5" max="5" width="14.453125" style="1150" hidden="1" customWidth="1"/>
    <col min="6" max="6" width="14.36328125" style="1150" hidden="1" customWidth="1"/>
    <col min="7" max="7" width="15.6328125" style="1150" hidden="1" customWidth="1"/>
    <col min="8" max="8" width="16.6328125" style="1150" hidden="1" customWidth="1"/>
    <col min="9" max="9" width="12.453125" style="1150" hidden="1" customWidth="1"/>
    <col min="10" max="10" width="9.08984375" style="1150" hidden="1" customWidth="1"/>
    <col min="11" max="11" width="23.08984375" style="1150" hidden="1" customWidth="1"/>
    <col min="12" max="12" width="10.36328125" style="1150" hidden="1" customWidth="1"/>
    <col min="13" max="14" width="15.08984375" style="1150" hidden="1" customWidth="1"/>
    <col min="15" max="15" width="14.36328125" style="1150" hidden="1" customWidth="1"/>
    <col min="16" max="16" width="15.6328125" style="1150" hidden="1" customWidth="1"/>
    <col min="17" max="17" width="16.6328125" style="1150" hidden="1" customWidth="1"/>
    <col min="18" max="18" width="12.453125" style="1150" hidden="1" customWidth="1"/>
    <col min="19" max="19" width="0" style="1150" hidden="1" customWidth="1"/>
    <col min="20" max="20" width="23.08984375" style="1150" hidden="1" customWidth="1"/>
    <col min="21" max="21" width="10.36328125" style="1150" hidden="1" customWidth="1"/>
    <col min="22" max="23" width="15.08984375" style="1150" hidden="1" customWidth="1"/>
    <col min="24" max="24" width="14.36328125" style="1150" hidden="1" customWidth="1"/>
    <col min="25" max="25" width="15.6328125" style="1150" hidden="1" customWidth="1"/>
    <col min="26" max="26" width="16.6328125" style="1150" hidden="1" customWidth="1"/>
    <col min="27" max="27" width="14.08984375" style="1150" hidden="1" customWidth="1"/>
    <col min="28" max="28" width="0" style="1150" hidden="1" customWidth="1"/>
    <col min="29" max="29" width="23.08984375" style="1150" hidden="1" customWidth="1"/>
    <col min="30" max="30" width="10.36328125" style="1150" hidden="1" customWidth="1"/>
    <col min="31" max="32" width="15.08984375" style="1150" hidden="1" customWidth="1"/>
    <col min="33" max="33" width="14.36328125" style="1150" hidden="1" customWidth="1"/>
    <col min="34" max="34" width="15.6328125" style="1150" hidden="1" customWidth="1"/>
    <col min="35" max="35" width="16.6328125" style="1150" hidden="1" customWidth="1"/>
    <col min="36" max="36" width="12.453125" style="1150" hidden="1" customWidth="1"/>
    <col min="37" max="37" width="0" style="1150" hidden="1" customWidth="1"/>
    <col min="38" max="38" width="19.453125" style="1150" hidden="1" customWidth="1"/>
    <col min="39" max="39" width="14.7265625" style="1150" hidden="1" customWidth="1"/>
    <col min="40" max="40" width="18.90625" style="1150" hidden="1" customWidth="1"/>
    <col min="41" max="41" width="14.6328125" style="1150" hidden="1" customWidth="1"/>
    <col min="42" max="42" width="16" style="1150" hidden="1" customWidth="1"/>
    <col min="43" max="43" width="13.08984375" style="1150" hidden="1" customWidth="1"/>
    <col min="44" max="44" width="12.26953125" style="1150" hidden="1" customWidth="1"/>
    <col min="45" max="45" width="9.6328125" style="1150" hidden="1" customWidth="1"/>
    <col min="46" max="46" width="0" style="1150" hidden="1" customWidth="1"/>
    <col min="47" max="47" width="15.90625" style="1150" hidden="1" customWidth="1"/>
    <col min="48" max="48" width="13.26953125" style="1150" hidden="1" customWidth="1"/>
    <col min="49" max="49" width="16.26953125" style="1150" hidden="1" customWidth="1"/>
    <col min="50" max="50" width="15.453125" style="1150" hidden="1" customWidth="1"/>
    <col min="51" max="51" width="16.90625" style="1150" hidden="1" customWidth="1"/>
    <col min="52" max="52" width="15.08984375" style="1150" hidden="1" customWidth="1"/>
    <col min="53" max="53" width="14" style="1150" hidden="1" customWidth="1"/>
    <col min="54" max="54" width="12.90625" style="1150" hidden="1" customWidth="1"/>
    <col min="55" max="55" width="0" style="1150" hidden="1" customWidth="1"/>
    <col min="56" max="56" width="23.08984375" style="1150" customWidth="1"/>
    <col min="57" max="57" width="10.36328125" style="1150" customWidth="1"/>
    <col min="58" max="58" width="15.08984375" style="1150" customWidth="1"/>
    <col min="59" max="59" width="14.453125" style="1150" customWidth="1"/>
    <col min="60" max="60" width="14.36328125" style="1150" customWidth="1"/>
    <col min="61" max="61" width="14.453125" style="1150" customWidth="1"/>
    <col min="62" max="62" width="23.453125" style="1150" customWidth="1"/>
    <col min="63" max="63" width="10.6328125" style="1150" customWidth="1"/>
    <col min="64" max="64" width="23.08984375" style="1150" customWidth="1"/>
    <col min="65" max="65" width="10.36328125" style="1150" customWidth="1"/>
    <col min="66" max="66" width="15.08984375" style="1150" customWidth="1"/>
    <col min="67" max="67" width="14.453125" style="1150" customWidth="1"/>
    <col min="68" max="68" width="14.36328125" style="1150" customWidth="1"/>
    <col min="69" max="69" width="14.453125" style="1150" customWidth="1"/>
    <col min="70" max="70" width="23.453125" style="1150" customWidth="1"/>
    <col min="71" max="71" width="10.6328125" style="1150" customWidth="1"/>
    <col min="72" max="72" width="9.08984375" style="1150"/>
    <col min="73" max="73" width="23.08984375" style="1150" customWidth="1"/>
    <col min="74" max="74" width="10.36328125" style="1150" customWidth="1"/>
    <col min="75" max="75" width="15.08984375" style="1150" customWidth="1"/>
    <col min="76" max="76" width="14.6328125" style="1150" customWidth="1"/>
    <col min="77" max="77" width="15" style="1150" customWidth="1"/>
    <col min="78" max="78" width="14.453125" style="1150" customWidth="1"/>
    <col min="79" max="79" width="23.453125" style="1150" customWidth="1"/>
    <col min="80" max="80" width="13.90625" style="1150" customWidth="1"/>
    <col min="81" max="81" width="9.08984375" style="1150"/>
    <col min="82" max="82" width="23.08984375" style="1150" customWidth="1"/>
    <col min="83" max="83" width="10.36328125" style="1150" customWidth="1"/>
    <col min="84" max="84" width="15.08984375" style="1150" customWidth="1"/>
    <col min="85" max="85" width="14.6328125" style="1150" customWidth="1"/>
    <col min="86" max="86" width="15" style="1150" customWidth="1"/>
    <col min="87" max="87" width="14.453125" style="1150" customWidth="1"/>
    <col min="88" max="88" width="23.453125" style="1150" customWidth="1"/>
    <col min="89" max="89" width="13.90625" style="1150" customWidth="1"/>
    <col min="90" max="90" width="9.08984375" style="1150"/>
    <col min="91" max="91" width="23.08984375" style="1150" customWidth="1"/>
    <col min="92" max="92" width="10.36328125" style="1150" customWidth="1"/>
    <col min="93" max="93" width="15.08984375" style="1150" customWidth="1"/>
    <col min="94" max="94" width="14.453125" style="1150" customWidth="1"/>
    <col min="95" max="95" width="14.36328125" style="1150" customWidth="1"/>
    <col min="96" max="96" width="14.453125" style="1150" customWidth="1"/>
    <col min="97" max="97" width="23.453125" style="1150" customWidth="1"/>
    <col min="98" max="98" width="10.6328125" style="1150" customWidth="1"/>
    <col min="99" max="99" width="9.08984375" style="1150"/>
    <col min="100" max="100" width="23.08984375" style="1150" customWidth="1"/>
    <col min="101" max="101" width="10.36328125" style="1150" customWidth="1"/>
    <col min="102" max="102" width="15.08984375" style="1150" customWidth="1"/>
    <col min="103" max="103" width="14.453125" style="1150" customWidth="1"/>
    <col min="104" max="104" width="14.36328125" style="1150" customWidth="1"/>
    <col min="105" max="105" width="14.453125" style="1150" customWidth="1"/>
    <col min="106" max="106" width="23.453125" style="1150" customWidth="1"/>
    <col min="107" max="107" width="10.6328125" style="1150" customWidth="1"/>
    <col min="108" max="108" width="9.08984375" style="1150"/>
    <col min="109" max="109" width="23.08984375" style="1150" customWidth="1"/>
    <col min="110" max="110" width="10.36328125" style="1150" customWidth="1"/>
    <col min="111" max="111" width="15.08984375" style="1150" customWidth="1"/>
    <col min="112" max="112" width="14.453125" style="1150" customWidth="1"/>
    <col min="113" max="113" width="14.36328125" style="1150" customWidth="1"/>
    <col min="114" max="114" width="15.6328125" style="1150" customWidth="1"/>
    <col min="115" max="115" width="16.6328125" style="1150" customWidth="1"/>
    <col min="116" max="116" width="12.453125" style="1150" customWidth="1"/>
    <col min="117" max="117" width="9.08984375" style="1150"/>
    <col min="118" max="118" width="23.08984375" style="1150" customWidth="1"/>
    <col min="119" max="119" width="10.36328125" style="1150" customWidth="1"/>
    <col min="120" max="120" width="15.08984375" style="1150" customWidth="1"/>
    <col min="121" max="121" width="14.453125" style="1150" customWidth="1"/>
    <col min="122" max="122" width="14.36328125" style="1150" customWidth="1"/>
    <col min="123" max="123" width="15.6328125" style="1150" customWidth="1"/>
    <col min="124" max="124" width="16.6328125" style="1150" customWidth="1"/>
    <col min="125" max="125" width="12.453125" style="1150" customWidth="1"/>
    <col min="126" max="126" width="9.08984375" style="1150"/>
    <col min="127" max="127" width="23.08984375" style="1150" customWidth="1"/>
    <col min="128" max="128" width="10.36328125" style="1150" customWidth="1"/>
    <col min="129" max="129" width="15.08984375" style="1150" customWidth="1"/>
    <col min="130" max="130" width="14.453125" style="1150" customWidth="1"/>
    <col min="131" max="131" width="14.36328125" style="1150" customWidth="1"/>
    <col min="132" max="132" width="15.6328125" style="1150" customWidth="1"/>
    <col min="133" max="133" width="16.6328125" style="1150" customWidth="1"/>
    <col min="134" max="134" width="12.453125" style="1150" customWidth="1"/>
    <col min="135" max="135" width="9.08984375" style="1150"/>
    <col min="136" max="136" width="23.08984375" style="1150" customWidth="1"/>
    <col min="137" max="137" width="10.36328125" style="1150" customWidth="1"/>
    <col min="138" max="138" width="15.08984375" style="1150" customWidth="1"/>
    <col min="139" max="139" width="14.453125" style="1150" customWidth="1"/>
    <col min="140" max="140" width="14.36328125" style="1150" customWidth="1"/>
    <col min="141" max="141" width="15.6328125" style="1150" customWidth="1"/>
    <col min="142" max="142" width="16.6328125" style="1150" customWidth="1"/>
    <col min="143" max="143" width="12.453125" style="1150" customWidth="1"/>
    <col min="144" max="144" width="9.08984375" style="1150"/>
    <col min="145" max="145" width="23.08984375" style="1150" customWidth="1"/>
    <col min="146" max="146" width="10.36328125" style="1150" customWidth="1"/>
    <col min="147" max="147" width="15.08984375" style="1150" customWidth="1"/>
    <col min="148" max="148" width="14.453125" style="1150" customWidth="1"/>
    <col min="149" max="149" width="14.36328125" style="1150" customWidth="1"/>
    <col min="150" max="150" width="15.6328125" style="1150" customWidth="1"/>
    <col min="151" max="151" width="16.6328125" style="1150" customWidth="1"/>
    <col min="152" max="152" width="12.453125" style="1150" customWidth="1"/>
    <col min="153" max="153" width="9.08984375" style="1150"/>
    <col min="154" max="154" width="23.08984375" style="1150" customWidth="1"/>
    <col min="155" max="155" width="10.36328125" style="1150" customWidth="1"/>
    <col min="156" max="156" width="15.08984375" style="1150" customWidth="1"/>
    <col min="157" max="157" width="14.453125" style="1150" customWidth="1"/>
    <col min="158" max="158" width="14.36328125" style="1150" customWidth="1"/>
    <col min="159" max="159" width="15.6328125" style="1150" customWidth="1"/>
    <col min="160" max="160" width="16.6328125" style="1150" customWidth="1"/>
    <col min="161" max="161" width="12.453125" style="1150" customWidth="1"/>
    <col min="162" max="162" width="9.08984375" style="1150"/>
    <col min="163" max="163" width="23.08984375" style="1150" customWidth="1"/>
    <col min="164" max="164" width="10.36328125" style="1150" customWidth="1"/>
    <col min="165" max="165" width="15.08984375" style="1150" customWidth="1"/>
    <col min="166" max="166" width="14.453125" style="1150" customWidth="1"/>
    <col min="167" max="167" width="14.36328125" style="1150" customWidth="1"/>
    <col min="168" max="168" width="15.6328125" style="1150" customWidth="1"/>
    <col min="169" max="169" width="16.6328125" style="1150" customWidth="1"/>
    <col min="170" max="170" width="12.453125" style="1150" customWidth="1"/>
    <col min="171" max="171" width="9.08984375" style="1150"/>
    <col min="172" max="172" width="23.08984375" style="1150" customWidth="1"/>
    <col min="173" max="173" width="10.36328125" style="1150" customWidth="1"/>
    <col min="174" max="174" width="15.08984375" style="1150" customWidth="1"/>
    <col min="175" max="175" width="14.453125" style="1150" customWidth="1"/>
    <col min="176" max="176" width="14.36328125" style="1150" customWidth="1"/>
    <col min="177" max="177" width="15.6328125" style="1150" customWidth="1"/>
    <col min="178" max="178" width="16.6328125" style="1150" customWidth="1"/>
    <col min="179" max="179" width="12.453125" style="1150" customWidth="1"/>
    <col min="180" max="180" width="9.08984375" style="1150"/>
    <col min="181" max="181" width="23.08984375" style="1150" customWidth="1"/>
    <col min="182" max="182" width="10.36328125" style="1150" customWidth="1"/>
    <col min="183" max="183" width="15.08984375" style="1150" customWidth="1"/>
    <col min="184" max="184" width="14.453125" style="1150" customWidth="1"/>
    <col min="185" max="185" width="14.36328125" style="1150" customWidth="1"/>
    <col min="186" max="186" width="15.6328125" style="1150" customWidth="1"/>
    <col min="187" max="187" width="16.6328125" style="1150" customWidth="1"/>
    <col min="188" max="188" width="12.453125" style="1150" customWidth="1"/>
    <col min="189" max="189" width="9.08984375" style="1150"/>
    <col min="190" max="190" width="23.08984375" style="1150" customWidth="1"/>
    <col min="191" max="191" width="10.36328125" style="1150" customWidth="1"/>
    <col min="192" max="192" width="15.08984375" style="1150" customWidth="1"/>
    <col min="193" max="193" width="14.453125" style="1150" customWidth="1"/>
    <col min="194" max="194" width="14.36328125" style="1150" customWidth="1"/>
    <col min="195" max="195" width="15.6328125" style="1150" customWidth="1"/>
    <col min="196" max="196" width="16.6328125" style="1150" customWidth="1"/>
    <col min="197" max="197" width="12.453125" style="1150" customWidth="1"/>
    <col min="198" max="198" width="9.08984375" style="1150"/>
    <col min="199" max="199" width="23.08984375" style="1150" customWidth="1"/>
    <col min="200" max="200" width="10.36328125" style="1150" customWidth="1"/>
    <col min="201" max="201" width="15.08984375" style="1150" customWidth="1"/>
    <col min="202" max="202" width="14.453125" style="1150" customWidth="1"/>
    <col min="203" max="203" width="14.36328125" style="1150" customWidth="1"/>
    <col min="204" max="204" width="15.6328125" style="1150" customWidth="1"/>
    <col min="205" max="205" width="16.6328125" style="1150" customWidth="1"/>
    <col min="206" max="206" width="12.453125" style="1150" customWidth="1"/>
    <col min="207" max="207" width="9.08984375" style="1150"/>
    <col min="208" max="208" width="23.08984375" style="1150" customWidth="1"/>
    <col min="209" max="209" width="10.36328125" style="1150" customWidth="1"/>
    <col min="210" max="210" width="15.08984375" style="1150" customWidth="1"/>
    <col min="211" max="211" width="14.453125" style="1150" customWidth="1"/>
    <col min="212" max="212" width="14.36328125" style="1150" customWidth="1"/>
    <col min="213" max="213" width="15.6328125" style="1150" customWidth="1"/>
    <col min="214" max="214" width="16.6328125" style="1150" customWidth="1"/>
    <col min="215" max="215" width="12.453125" style="1150" customWidth="1"/>
    <col min="216" max="216" width="9.08984375" style="1150"/>
    <col min="217" max="217" width="23.08984375" style="1150" customWidth="1"/>
    <col min="218" max="218" width="10.36328125" style="1150" customWidth="1"/>
    <col min="219" max="219" width="15.08984375" style="1150" customWidth="1"/>
    <col min="220" max="220" width="14.453125" style="1150" customWidth="1"/>
    <col min="221" max="221" width="14.36328125" style="1150" customWidth="1"/>
    <col min="222" max="222" width="15.6328125" style="1150" customWidth="1"/>
    <col min="223" max="223" width="16.6328125" style="1150" customWidth="1"/>
    <col min="224" max="224" width="12.453125" style="1150" customWidth="1"/>
    <col min="225" max="225" width="9.08984375" style="1150"/>
    <col min="226" max="226" width="23.08984375" style="1150" customWidth="1"/>
    <col min="227" max="227" width="10.36328125" style="1150" customWidth="1"/>
    <col min="228" max="228" width="15.08984375" style="1150" customWidth="1"/>
    <col min="229" max="229" width="14.453125" style="1150" customWidth="1"/>
    <col min="230" max="230" width="14.36328125" style="1150" customWidth="1"/>
    <col min="231" max="231" width="15.6328125" style="1150" customWidth="1"/>
    <col min="232" max="232" width="16.6328125" style="1150" customWidth="1"/>
    <col min="233" max="233" width="12.453125" style="1150" customWidth="1"/>
    <col min="234" max="234" width="9.08984375" style="1150"/>
    <col min="235" max="235" width="23.08984375" style="1150" customWidth="1"/>
    <col min="236" max="236" width="10.36328125" style="1150" customWidth="1"/>
    <col min="237" max="237" width="15.08984375" style="1150" customWidth="1"/>
    <col min="238" max="238" width="14.453125" style="1150" customWidth="1"/>
    <col min="239" max="239" width="14.36328125" style="1150" customWidth="1"/>
    <col min="240" max="240" width="15.6328125" style="1150" customWidth="1"/>
    <col min="241" max="241" width="16.6328125" style="1150" customWidth="1"/>
    <col min="242" max="242" width="12.453125" style="1150" customWidth="1"/>
    <col min="243" max="243" width="9.08984375" style="1150"/>
    <col min="244" max="244" width="23.08984375" style="1150" customWidth="1"/>
    <col min="245" max="245" width="10.36328125" style="1150" customWidth="1"/>
    <col min="246" max="246" width="15.08984375" style="1150" customWidth="1"/>
    <col min="247" max="247" width="14.453125" style="1150" customWidth="1"/>
    <col min="248" max="248" width="14.36328125" style="1150" customWidth="1"/>
    <col min="249" max="249" width="15.6328125" style="1150" customWidth="1"/>
    <col min="250" max="250" width="16.6328125" style="1150" customWidth="1"/>
    <col min="251" max="251" width="12.453125" style="1150" customWidth="1"/>
    <col min="252" max="16384" width="9.08984375" style="1150"/>
  </cols>
  <sheetData>
    <row r="2" spans="2:251" ht="15.5" hidden="1" x14ac:dyDescent="0.35">
      <c r="B2" s="1271" t="s">
        <v>991</v>
      </c>
      <c r="C2" s="1274"/>
      <c r="D2" s="1274"/>
      <c r="E2" s="1274"/>
      <c r="F2" s="1274"/>
      <c r="G2" s="1274"/>
      <c r="H2" s="1274"/>
      <c r="I2" s="1274"/>
      <c r="K2" s="1271" t="s">
        <v>991</v>
      </c>
      <c r="L2" s="1271"/>
      <c r="M2" s="1271"/>
      <c r="N2" s="1271"/>
      <c r="O2" s="1271"/>
      <c r="P2" s="1271"/>
      <c r="Q2" s="1271"/>
      <c r="R2" s="1271"/>
      <c r="T2" s="1271" t="s">
        <v>991</v>
      </c>
      <c r="U2" s="1274"/>
      <c r="V2" s="1274"/>
      <c r="W2" s="1274"/>
      <c r="X2" s="1274"/>
      <c r="Y2" s="1274"/>
      <c r="Z2" s="1274"/>
      <c r="AA2" s="1274"/>
      <c r="AC2" s="1271" t="s">
        <v>991</v>
      </c>
      <c r="AD2" s="1274"/>
      <c r="AE2" s="1274"/>
      <c r="AF2" s="1274"/>
      <c r="AG2" s="1274"/>
      <c r="AH2" s="1274"/>
      <c r="AI2" s="1274"/>
      <c r="AJ2" s="1274"/>
      <c r="AL2" s="1271" t="s">
        <v>991</v>
      </c>
      <c r="AM2" s="1271"/>
      <c r="AN2" s="1271"/>
      <c r="AO2" s="1271"/>
      <c r="AP2" s="1271"/>
      <c r="AQ2" s="1271"/>
      <c r="AR2" s="1271"/>
      <c r="AS2" s="1271"/>
      <c r="AU2" s="1271" t="s">
        <v>991</v>
      </c>
      <c r="AV2" s="1274"/>
      <c r="AW2" s="1274"/>
      <c r="AX2" s="1274"/>
      <c r="AY2" s="1274"/>
      <c r="AZ2" s="1274"/>
      <c r="BA2" s="1274"/>
      <c r="BB2" s="1274"/>
      <c r="BD2" s="1271" t="s">
        <v>990</v>
      </c>
      <c r="BE2" s="1272"/>
      <c r="BF2" s="1272"/>
      <c r="BG2" s="1272"/>
      <c r="BH2" s="1272"/>
      <c r="BI2" s="1272"/>
      <c r="BJ2" s="1272"/>
      <c r="BK2" s="1272"/>
      <c r="BL2" s="1256" t="s">
        <v>990</v>
      </c>
      <c r="BM2" s="1270"/>
      <c r="BN2" s="1270"/>
      <c r="BO2" s="1270"/>
      <c r="BP2" s="1270"/>
      <c r="BQ2" s="1270"/>
      <c r="BR2" s="1270"/>
      <c r="BS2" s="1270"/>
      <c r="BU2" s="1256" t="s">
        <v>990</v>
      </c>
      <c r="BV2" s="1270"/>
      <c r="BW2" s="1270"/>
      <c r="BX2" s="1270"/>
      <c r="BY2" s="1270"/>
      <c r="BZ2" s="1270"/>
      <c r="CA2" s="1270"/>
      <c r="CB2" s="1270"/>
      <c r="CD2" s="1256" t="s">
        <v>990</v>
      </c>
      <c r="CE2" s="1270"/>
      <c r="CF2" s="1270"/>
      <c r="CG2" s="1270"/>
      <c r="CH2" s="1270"/>
      <c r="CI2" s="1270"/>
      <c r="CJ2" s="1270"/>
      <c r="CK2" s="1270"/>
      <c r="CM2" s="1256" t="s">
        <v>892</v>
      </c>
      <c r="CN2" s="1270"/>
      <c r="CO2" s="1270"/>
      <c r="CP2" s="1270"/>
      <c r="CQ2" s="1270"/>
      <c r="CR2" s="1270"/>
      <c r="CS2" s="1270"/>
      <c r="CT2" s="1270"/>
      <c r="CV2" s="1256" t="s">
        <v>892</v>
      </c>
      <c r="CW2" s="1270"/>
      <c r="CX2" s="1270"/>
      <c r="CY2" s="1270"/>
      <c r="CZ2" s="1270"/>
      <c r="DA2" s="1270"/>
      <c r="DB2" s="1270"/>
      <c r="DC2" s="1270"/>
      <c r="DE2" s="1256" t="s">
        <v>892</v>
      </c>
      <c r="DF2" s="1270"/>
      <c r="DG2" s="1270"/>
      <c r="DH2" s="1270"/>
      <c r="DI2" s="1270"/>
      <c r="DJ2" s="1270"/>
      <c r="DK2" s="1270"/>
      <c r="DL2" s="1270"/>
      <c r="DN2" s="1256" t="s">
        <v>892</v>
      </c>
      <c r="DO2" s="1270"/>
      <c r="DP2" s="1270"/>
      <c r="DQ2" s="1270"/>
      <c r="DR2" s="1270"/>
      <c r="DS2" s="1270"/>
      <c r="DT2" s="1270"/>
      <c r="DU2" s="1270"/>
      <c r="DW2" s="1256" t="s">
        <v>892</v>
      </c>
      <c r="DX2" s="1270"/>
      <c r="DY2" s="1270"/>
      <c r="DZ2" s="1270"/>
      <c r="EA2" s="1270"/>
      <c r="EB2" s="1270"/>
      <c r="EC2" s="1270"/>
      <c r="ED2" s="1270"/>
      <c r="EF2" s="1256" t="s">
        <v>892</v>
      </c>
      <c r="EG2" s="1270"/>
      <c r="EH2" s="1270"/>
      <c r="EI2" s="1270"/>
      <c r="EJ2" s="1270"/>
      <c r="EK2" s="1270"/>
      <c r="EL2" s="1270"/>
      <c r="EM2" s="1270"/>
      <c r="EO2" s="1256" t="s">
        <v>892</v>
      </c>
      <c r="EP2" s="1270"/>
      <c r="EQ2" s="1270"/>
      <c r="ER2" s="1270"/>
      <c r="ES2" s="1270"/>
      <c r="ET2" s="1270"/>
      <c r="EU2" s="1270"/>
      <c r="EV2" s="1270"/>
      <c r="EX2" s="1256" t="s">
        <v>892</v>
      </c>
      <c r="EY2" s="1270"/>
      <c r="EZ2" s="1270"/>
      <c r="FA2" s="1270"/>
      <c r="FB2" s="1270"/>
      <c r="FC2" s="1270"/>
      <c r="FD2" s="1270"/>
      <c r="FE2" s="1270"/>
      <c r="FG2" s="1256" t="s">
        <v>892</v>
      </c>
      <c r="FH2" s="1270"/>
      <c r="FI2" s="1270"/>
      <c r="FJ2" s="1270"/>
      <c r="FK2" s="1270"/>
      <c r="FL2" s="1270"/>
      <c r="FM2" s="1270"/>
      <c r="FN2" s="1270"/>
      <c r="FP2" s="1256" t="s">
        <v>892</v>
      </c>
      <c r="FQ2" s="1270"/>
      <c r="FR2" s="1270"/>
      <c r="FS2" s="1270"/>
      <c r="FT2" s="1270"/>
      <c r="FU2" s="1270"/>
      <c r="FV2" s="1270"/>
      <c r="FW2" s="1270"/>
      <c r="FY2" s="1256" t="s">
        <v>892</v>
      </c>
      <c r="FZ2" s="1270"/>
      <c r="GA2" s="1270"/>
      <c r="GB2" s="1270"/>
      <c r="GC2" s="1270"/>
      <c r="GD2" s="1270"/>
      <c r="GE2" s="1270"/>
      <c r="GF2" s="1270"/>
      <c r="GH2" s="1256" t="s">
        <v>892</v>
      </c>
      <c r="GI2" s="1270"/>
      <c r="GJ2" s="1270"/>
      <c r="GK2" s="1270"/>
      <c r="GL2" s="1270"/>
      <c r="GM2" s="1270"/>
      <c r="GN2" s="1270"/>
      <c r="GO2" s="1270"/>
      <c r="GQ2" s="1256" t="s">
        <v>892</v>
      </c>
      <c r="GR2" s="1270"/>
      <c r="GS2" s="1270"/>
      <c r="GT2" s="1270"/>
      <c r="GU2" s="1270"/>
      <c r="GV2" s="1270"/>
      <c r="GW2" s="1270"/>
      <c r="GX2" s="1270"/>
      <c r="GZ2" s="1256" t="s">
        <v>892</v>
      </c>
      <c r="HA2" s="1270"/>
      <c r="HB2" s="1270"/>
      <c r="HC2" s="1270"/>
      <c r="HD2" s="1270"/>
      <c r="HE2" s="1270"/>
      <c r="HF2" s="1270"/>
      <c r="HG2" s="1270"/>
      <c r="HI2" s="1256" t="s">
        <v>892</v>
      </c>
      <c r="HJ2" s="1270"/>
      <c r="HK2" s="1270"/>
      <c r="HL2" s="1270"/>
      <c r="HM2" s="1270"/>
      <c r="HN2" s="1270"/>
      <c r="HO2" s="1270"/>
      <c r="HP2" s="1270"/>
      <c r="HR2" s="1256" t="s">
        <v>892</v>
      </c>
      <c r="HS2" s="1270"/>
      <c r="HT2" s="1270"/>
      <c r="HU2" s="1270"/>
      <c r="HV2" s="1270"/>
      <c r="HW2" s="1270"/>
      <c r="HX2" s="1270"/>
      <c r="HY2" s="1270"/>
      <c r="IA2" s="1256" t="s">
        <v>892</v>
      </c>
      <c r="IB2" s="1270"/>
      <c r="IC2" s="1270"/>
      <c r="ID2" s="1270"/>
      <c r="IE2" s="1270"/>
      <c r="IF2" s="1270"/>
      <c r="IG2" s="1270"/>
      <c r="IH2" s="1270"/>
      <c r="IJ2" s="1256" t="s">
        <v>892</v>
      </c>
      <c r="IK2" s="1270"/>
      <c r="IL2" s="1270"/>
      <c r="IM2" s="1270"/>
      <c r="IN2" s="1270"/>
      <c r="IO2" s="1270"/>
      <c r="IP2" s="1270"/>
      <c r="IQ2" s="1270"/>
    </row>
    <row r="3" spans="2:251" ht="15" hidden="1" x14ac:dyDescent="0.3">
      <c r="B3" s="1271" t="s">
        <v>989</v>
      </c>
      <c r="C3" s="1271"/>
      <c r="D3" s="1271"/>
      <c r="E3" s="1271"/>
      <c r="F3" s="1271"/>
      <c r="G3" s="1271"/>
      <c r="H3" s="1271"/>
      <c r="I3" s="1271"/>
      <c r="K3" s="1271" t="s">
        <v>988</v>
      </c>
      <c r="L3" s="1271"/>
      <c r="M3" s="1271"/>
      <c r="N3" s="1271"/>
      <c r="O3" s="1271"/>
      <c r="P3" s="1271"/>
      <c r="Q3" s="1271"/>
      <c r="R3" s="1271"/>
      <c r="T3" s="1271" t="s">
        <v>987</v>
      </c>
      <c r="U3" s="1271"/>
      <c r="V3" s="1271"/>
      <c r="W3" s="1271"/>
      <c r="X3" s="1271"/>
      <c r="Y3" s="1271"/>
      <c r="Z3" s="1271"/>
      <c r="AA3" s="1271"/>
      <c r="AC3" s="1271" t="s">
        <v>986</v>
      </c>
      <c r="AD3" s="1271"/>
      <c r="AE3" s="1271"/>
      <c r="AF3" s="1271"/>
      <c r="AG3" s="1271"/>
      <c r="AH3" s="1271"/>
      <c r="AI3" s="1271"/>
      <c r="AJ3" s="1271"/>
      <c r="AL3" s="1271" t="s">
        <v>985</v>
      </c>
      <c r="AM3" s="1271"/>
      <c r="AN3" s="1271"/>
      <c r="AO3" s="1271"/>
      <c r="AP3" s="1271"/>
      <c r="AQ3" s="1271"/>
      <c r="AR3" s="1271"/>
      <c r="AS3" s="1271"/>
      <c r="AU3" s="1271" t="s">
        <v>984</v>
      </c>
      <c r="AV3" s="1271"/>
      <c r="AW3" s="1271"/>
      <c r="AX3" s="1271"/>
      <c r="AY3" s="1271"/>
      <c r="AZ3" s="1271"/>
      <c r="BA3" s="1271"/>
      <c r="BB3" s="1271"/>
      <c r="BD3" s="1271" t="s">
        <v>983</v>
      </c>
      <c r="BE3" s="1271"/>
      <c r="BF3" s="1271"/>
      <c r="BG3" s="1271"/>
      <c r="BH3" s="1271"/>
      <c r="BI3" s="1271"/>
      <c r="BJ3" s="1271"/>
      <c r="BK3" s="1271"/>
      <c r="BL3" s="1256" t="s">
        <v>982</v>
      </c>
      <c r="BM3" s="1256"/>
      <c r="BN3" s="1256"/>
      <c r="BO3" s="1256"/>
      <c r="BP3" s="1256"/>
      <c r="BQ3" s="1256"/>
      <c r="BR3" s="1256"/>
      <c r="BS3" s="1256"/>
      <c r="BU3" s="1256" t="s">
        <v>981</v>
      </c>
      <c r="BV3" s="1256"/>
      <c r="BW3" s="1256"/>
      <c r="BX3" s="1256"/>
      <c r="BY3" s="1256"/>
      <c r="BZ3" s="1256"/>
      <c r="CA3" s="1256"/>
      <c r="CB3" s="1256"/>
      <c r="CD3" s="1256" t="s">
        <v>980</v>
      </c>
      <c r="CE3" s="1256"/>
      <c r="CF3" s="1256"/>
      <c r="CG3" s="1256"/>
      <c r="CH3" s="1256"/>
      <c r="CI3" s="1256"/>
      <c r="CJ3" s="1256"/>
      <c r="CK3" s="1256"/>
      <c r="CM3" s="1256" t="s">
        <v>979</v>
      </c>
      <c r="CN3" s="1256"/>
      <c r="CO3" s="1256"/>
      <c r="CP3" s="1256"/>
      <c r="CQ3" s="1256"/>
      <c r="CR3" s="1256"/>
      <c r="CS3" s="1256"/>
      <c r="CT3" s="1256"/>
      <c r="CV3" s="1256" t="s">
        <v>978</v>
      </c>
      <c r="CW3" s="1256"/>
      <c r="CX3" s="1256"/>
      <c r="CY3" s="1256"/>
      <c r="CZ3" s="1256"/>
      <c r="DA3" s="1256"/>
      <c r="DB3" s="1256"/>
      <c r="DC3" s="1256"/>
      <c r="DE3" s="1256" t="s">
        <v>977</v>
      </c>
      <c r="DF3" s="1256"/>
      <c r="DG3" s="1256"/>
      <c r="DH3" s="1256"/>
      <c r="DI3" s="1256"/>
      <c r="DJ3" s="1256"/>
      <c r="DK3" s="1256"/>
      <c r="DL3" s="1256"/>
      <c r="DN3" s="1256" t="s">
        <v>976</v>
      </c>
      <c r="DO3" s="1256"/>
      <c r="DP3" s="1256"/>
      <c r="DQ3" s="1256"/>
      <c r="DR3" s="1256"/>
      <c r="DS3" s="1256"/>
      <c r="DT3" s="1256"/>
      <c r="DU3" s="1256"/>
      <c r="DW3" s="1256" t="s">
        <v>975</v>
      </c>
      <c r="DX3" s="1256"/>
      <c r="DY3" s="1256"/>
      <c r="DZ3" s="1256"/>
      <c r="EA3" s="1256"/>
      <c r="EB3" s="1256"/>
      <c r="EC3" s="1256"/>
      <c r="ED3" s="1256"/>
      <c r="EF3" s="1256" t="s">
        <v>974</v>
      </c>
      <c r="EG3" s="1256"/>
      <c r="EH3" s="1256"/>
      <c r="EI3" s="1256"/>
      <c r="EJ3" s="1256"/>
      <c r="EK3" s="1256"/>
      <c r="EL3" s="1256"/>
      <c r="EM3" s="1256"/>
      <c r="EO3" s="1256" t="s">
        <v>973</v>
      </c>
      <c r="EP3" s="1256"/>
      <c r="EQ3" s="1256"/>
      <c r="ER3" s="1256"/>
      <c r="ES3" s="1256"/>
      <c r="ET3" s="1256"/>
      <c r="EU3" s="1256"/>
      <c r="EV3" s="1256"/>
      <c r="EX3" s="1256" t="s">
        <v>972</v>
      </c>
      <c r="EY3" s="1256"/>
      <c r="EZ3" s="1256"/>
      <c r="FA3" s="1256"/>
      <c r="FB3" s="1256"/>
      <c r="FC3" s="1256"/>
      <c r="FD3" s="1256"/>
      <c r="FE3" s="1256"/>
      <c r="FG3" s="1256" t="s">
        <v>971</v>
      </c>
      <c r="FH3" s="1256"/>
      <c r="FI3" s="1256"/>
      <c r="FJ3" s="1256"/>
      <c r="FK3" s="1256"/>
      <c r="FL3" s="1256"/>
      <c r="FM3" s="1256"/>
      <c r="FN3" s="1256"/>
      <c r="FP3" s="1256" t="s">
        <v>970</v>
      </c>
      <c r="FQ3" s="1256"/>
      <c r="FR3" s="1256"/>
      <c r="FS3" s="1256"/>
      <c r="FT3" s="1256"/>
      <c r="FU3" s="1256"/>
      <c r="FV3" s="1256"/>
      <c r="FW3" s="1256"/>
      <c r="FY3" s="1256" t="s">
        <v>969</v>
      </c>
      <c r="FZ3" s="1256"/>
      <c r="GA3" s="1256"/>
      <c r="GB3" s="1256"/>
      <c r="GC3" s="1256"/>
      <c r="GD3" s="1256"/>
      <c r="GE3" s="1256"/>
      <c r="GF3" s="1256"/>
      <c r="GH3" s="1256" t="s">
        <v>968</v>
      </c>
      <c r="GI3" s="1256"/>
      <c r="GJ3" s="1256"/>
      <c r="GK3" s="1256"/>
      <c r="GL3" s="1256"/>
      <c r="GM3" s="1256"/>
      <c r="GN3" s="1256"/>
      <c r="GO3" s="1256"/>
      <c r="GQ3" s="1256" t="s">
        <v>967</v>
      </c>
      <c r="GR3" s="1256"/>
      <c r="GS3" s="1256"/>
      <c r="GT3" s="1256"/>
      <c r="GU3" s="1256"/>
      <c r="GV3" s="1256"/>
      <c r="GW3" s="1256"/>
      <c r="GX3" s="1256"/>
      <c r="GZ3" s="1256" t="s">
        <v>966</v>
      </c>
      <c r="HA3" s="1256"/>
      <c r="HB3" s="1256"/>
      <c r="HC3" s="1256"/>
      <c r="HD3" s="1256"/>
      <c r="HE3" s="1256"/>
      <c r="HF3" s="1256"/>
      <c r="HG3" s="1256"/>
      <c r="HI3" s="1256" t="s">
        <v>965</v>
      </c>
      <c r="HJ3" s="1256"/>
      <c r="HK3" s="1256"/>
      <c r="HL3" s="1256"/>
      <c r="HM3" s="1256"/>
      <c r="HN3" s="1256"/>
      <c r="HO3" s="1256"/>
      <c r="HP3" s="1256"/>
      <c r="HR3" s="1256" t="s">
        <v>964</v>
      </c>
      <c r="HS3" s="1256"/>
      <c r="HT3" s="1256"/>
      <c r="HU3" s="1256"/>
      <c r="HV3" s="1256"/>
      <c r="HW3" s="1256"/>
      <c r="HX3" s="1256"/>
      <c r="HY3" s="1256"/>
      <c r="IA3" s="1256" t="s">
        <v>963</v>
      </c>
      <c r="IB3" s="1256"/>
      <c r="IC3" s="1256"/>
      <c r="ID3" s="1256"/>
      <c r="IE3" s="1256"/>
      <c r="IF3" s="1256"/>
      <c r="IG3" s="1256"/>
      <c r="IH3" s="1256"/>
      <c r="IJ3" s="1256" t="s">
        <v>962</v>
      </c>
      <c r="IK3" s="1256"/>
      <c r="IL3" s="1256"/>
      <c r="IM3" s="1256"/>
      <c r="IN3" s="1256"/>
      <c r="IO3" s="1256"/>
      <c r="IP3" s="1256"/>
      <c r="IQ3" s="1256"/>
    </row>
    <row r="4" spans="2:251" ht="15.5" hidden="1" x14ac:dyDescent="0.35">
      <c r="C4" s="1151"/>
      <c r="D4" s="1151"/>
      <c r="E4" s="1151"/>
      <c r="F4" s="1151"/>
      <c r="G4" s="1151"/>
      <c r="H4" s="1151"/>
      <c r="I4" s="1152" t="s">
        <v>144</v>
      </c>
      <c r="K4" s="1152" t="s">
        <v>144</v>
      </c>
      <c r="L4" s="1151"/>
      <c r="M4" s="1151"/>
      <c r="N4" s="1151"/>
      <c r="O4" s="1151"/>
      <c r="P4" s="1151"/>
      <c r="Q4" s="1151"/>
      <c r="R4" s="1151"/>
      <c r="T4" s="1152" t="s">
        <v>144</v>
      </c>
      <c r="U4" s="1151"/>
      <c r="V4" s="1151"/>
      <c r="W4" s="1151"/>
      <c r="X4" s="1151"/>
      <c r="Y4" s="1151"/>
      <c r="Z4" s="1151"/>
      <c r="AA4" s="1151"/>
      <c r="AC4" s="1152" t="s">
        <v>144</v>
      </c>
      <c r="AD4" s="1151"/>
      <c r="AE4" s="1151"/>
      <c r="AF4" s="1151"/>
      <c r="AG4" s="1151"/>
      <c r="AH4" s="1151"/>
      <c r="AI4" s="1151"/>
      <c r="AJ4" s="1151"/>
      <c r="AL4" s="1152" t="s">
        <v>144</v>
      </c>
      <c r="AM4" s="1151"/>
      <c r="AN4" s="1151"/>
      <c r="AO4" s="1151"/>
      <c r="AP4" s="1151"/>
      <c r="AQ4" s="1151"/>
      <c r="AR4" s="1151"/>
      <c r="AS4" s="1151"/>
      <c r="AU4" s="1152" t="s">
        <v>144</v>
      </c>
      <c r="AV4" s="1151"/>
      <c r="AW4" s="1151"/>
      <c r="AX4" s="1151"/>
      <c r="AY4" s="1151"/>
      <c r="AZ4" s="1151"/>
      <c r="BA4" s="1151"/>
      <c r="BB4" s="1151"/>
      <c r="BD4" s="1153"/>
      <c r="BE4" s="1153"/>
      <c r="BF4" s="1153"/>
      <c r="BG4" s="1153"/>
      <c r="BH4" s="1153"/>
      <c r="BK4" s="1153" t="s">
        <v>144</v>
      </c>
      <c r="BL4" s="1071"/>
      <c r="BM4" s="1071"/>
      <c r="BN4" s="1071"/>
      <c r="BO4" s="1071"/>
      <c r="BP4" s="1071"/>
      <c r="BQ4" s="865"/>
      <c r="BR4" s="865"/>
      <c r="BS4" s="1071" t="s">
        <v>144</v>
      </c>
      <c r="BU4" s="1071"/>
      <c r="BV4" s="1071"/>
      <c r="BW4" s="1071"/>
      <c r="BX4" s="1071"/>
      <c r="BY4" s="1071"/>
      <c r="BZ4" s="865"/>
      <c r="CA4" s="865"/>
      <c r="CB4" s="1071" t="s">
        <v>144</v>
      </c>
      <c r="CD4" s="1071"/>
      <c r="CE4" s="1071"/>
      <c r="CF4" s="1071"/>
      <c r="CG4" s="1071"/>
      <c r="CH4" s="1071"/>
      <c r="CI4" s="865"/>
      <c r="CJ4" s="865"/>
      <c r="CK4" s="1071" t="s">
        <v>144</v>
      </c>
      <c r="CM4" s="1071"/>
      <c r="CN4" s="1071"/>
      <c r="CO4" s="1071"/>
      <c r="CP4" s="1071"/>
      <c r="CQ4" s="1071"/>
      <c r="CR4" s="865"/>
      <c r="CS4" s="865"/>
      <c r="CT4" s="1071" t="s">
        <v>144</v>
      </c>
      <c r="CV4" s="1071"/>
      <c r="CW4" s="1071"/>
      <c r="CX4" s="1071"/>
      <c r="CY4" s="1071"/>
      <c r="CZ4" s="1071"/>
      <c r="DA4" s="865"/>
      <c r="DB4" s="865"/>
      <c r="DC4" s="1071" t="s">
        <v>144</v>
      </c>
      <c r="DE4" s="1071"/>
      <c r="DF4" s="1071"/>
      <c r="DG4" s="1071"/>
      <c r="DH4" s="1071"/>
      <c r="DI4" s="1071"/>
      <c r="DJ4" s="865"/>
      <c r="DK4" s="865"/>
      <c r="DL4" s="1130" t="s">
        <v>144</v>
      </c>
      <c r="DN4" s="1071"/>
      <c r="DO4" s="1071"/>
      <c r="DP4" s="1071"/>
      <c r="DQ4" s="1071"/>
      <c r="DR4" s="1071"/>
      <c r="DS4" s="865"/>
      <c r="DT4" s="865"/>
      <c r="DU4" s="1130" t="s">
        <v>144</v>
      </c>
      <c r="DW4" s="1071"/>
      <c r="DX4" s="1071"/>
      <c r="DY4" s="1071"/>
      <c r="DZ4" s="1071"/>
      <c r="EA4" s="1071"/>
      <c r="EB4" s="865"/>
      <c r="EC4" s="865"/>
      <c r="ED4" s="1130" t="s">
        <v>144</v>
      </c>
      <c r="EF4" s="1071"/>
      <c r="EG4" s="1071"/>
      <c r="EH4" s="1071"/>
      <c r="EI4" s="1071"/>
      <c r="EJ4" s="1071"/>
      <c r="EK4" s="865"/>
      <c r="EL4" s="865"/>
      <c r="EM4" s="1130" t="s">
        <v>144</v>
      </c>
      <c r="EO4" s="1071" t="s">
        <v>961</v>
      </c>
      <c r="EP4" s="1071"/>
      <c r="EQ4" s="1071"/>
      <c r="ER4" s="1071"/>
      <c r="ES4" s="1071"/>
      <c r="ET4" s="865"/>
      <c r="EU4" s="865"/>
      <c r="EV4" s="1130" t="s">
        <v>144</v>
      </c>
      <c r="EX4" s="103"/>
      <c r="EY4" s="1071"/>
      <c r="EZ4" s="1071"/>
      <c r="FA4" s="1071"/>
      <c r="FB4" s="1071"/>
      <c r="FC4" s="865"/>
      <c r="FD4" s="865"/>
      <c r="FE4" s="103"/>
      <c r="FG4" s="1071" t="s">
        <v>961</v>
      </c>
      <c r="FH4" s="1130"/>
      <c r="FI4" s="1130"/>
      <c r="FJ4" s="1130"/>
      <c r="FK4" s="1130"/>
      <c r="FL4" s="1130"/>
      <c r="FM4" s="1130"/>
      <c r="FN4" s="1130" t="s">
        <v>144</v>
      </c>
      <c r="FP4" s="1071" t="s">
        <v>961</v>
      </c>
      <c r="FQ4" s="1130"/>
      <c r="FR4" s="1130"/>
      <c r="FS4" s="1130"/>
      <c r="FT4" s="1130"/>
      <c r="FU4" s="1130"/>
      <c r="FV4" s="1130"/>
      <c r="FW4" s="1130" t="s">
        <v>144</v>
      </c>
      <c r="FY4" s="1071" t="s">
        <v>931</v>
      </c>
      <c r="FZ4" s="1071"/>
      <c r="GA4" s="1071"/>
      <c r="GB4" s="1071"/>
      <c r="GC4" s="1071"/>
      <c r="GD4" s="865"/>
      <c r="GE4" s="865"/>
      <c r="GF4" s="103"/>
      <c r="GH4" s="1071" t="s">
        <v>931</v>
      </c>
      <c r="GI4" s="1071"/>
      <c r="GJ4" s="1071"/>
      <c r="GK4" s="1071"/>
      <c r="GL4" s="1071"/>
      <c r="GM4" s="865"/>
      <c r="GN4" s="865"/>
      <c r="GO4" s="103"/>
      <c r="GQ4" s="1071" t="s">
        <v>931</v>
      </c>
      <c r="GR4" s="1071"/>
      <c r="GS4" s="1071"/>
      <c r="GT4" s="1071"/>
      <c r="GU4" s="1071"/>
      <c r="GV4" s="865"/>
      <c r="GW4" s="865"/>
      <c r="GX4" s="103"/>
      <c r="GZ4" s="1071" t="s">
        <v>931</v>
      </c>
      <c r="HA4" s="1071"/>
      <c r="HB4" s="1071"/>
      <c r="HC4" s="1071"/>
      <c r="HD4" s="1071"/>
      <c r="HE4" s="865"/>
      <c r="HF4" s="865"/>
      <c r="HG4" s="103"/>
      <c r="HI4" s="1071" t="s">
        <v>931</v>
      </c>
      <c r="HJ4" s="1071"/>
      <c r="HK4" s="1071"/>
      <c r="HL4" s="1071"/>
      <c r="HM4" s="1071"/>
      <c r="HN4" s="865"/>
      <c r="HO4" s="865"/>
      <c r="HP4" s="103"/>
      <c r="HR4" s="1071" t="s">
        <v>931</v>
      </c>
      <c r="HS4" s="1071"/>
      <c r="HT4" s="1071"/>
      <c r="HU4" s="1071"/>
      <c r="HV4" s="1071"/>
      <c r="HW4" s="865"/>
      <c r="HX4" s="865"/>
      <c r="HY4" s="103"/>
      <c r="IA4" s="1071" t="s">
        <v>931</v>
      </c>
      <c r="IB4" s="1071"/>
      <c r="IC4" s="1071"/>
      <c r="ID4" s="1071"/>
      <c r="IE4" s="1071"/>
      <c r="IF4" s="865"/>
      <c r="IG4" s="865"/>
      <c r="IH4" s="103"/>
      <c r="IJ4" s="1071" t="s">
        <v>931</v>
      </c>
      <c r="IK4" s="1071"/>
      <c r="IL4" s="1071"/>
      <c r="IM4" s="1071"/>
      <c r="IN4" s="1071"/>
      <c r="IO4" s="865"/>
      <c r="IP4" s="865"/>
      <c r="IQ4" s="103"/>
    </row>
    <row r="5" spans="2:251" s="1158" customFormat="1" ht="63" hidden="1" customHeight="1" x14ac:dyDescent="0.35">
      <c r="B5" s="1154" t="s">
        <v>472</v>
      </c>
      <c r="C5" s="1155" t="s">
        <v>471</v>
      </c>
      <c r="D5" s="1154" t="s">
        <v>927</v>
      </c>
      <c r="E5" s="1155" t="s">
        <v>866</v>
      </c>
      <c r="F5" s="1155" t="s">
        <v>867</v>
      </c>
      <c r="G5" s="1156" t="s">
        <v>959</v>
      </c>
      <c r="H5" s="1156" t="s">
        <v>960</v>
      </c>
      <c r="I5" s="1154" t="s">
        <v>447</v>
      </c>
      <c r="J5" s="1157"/>
      <c r="K5" s="1154" t="s">
        <v>472</v>
      </c>
      <c r="L5" s="1155" t="s">
        <v>471</v>
      </c>
      <c r="M5" s="1154" t="s">
        <v>927</v>
      </c>
      <c r="N5" s="1155" t="s">
        <v>866</v>
      </c>
      <c r="O5" s="1155" t="s">
        <v>867</v>
      </c>
      <c r="P5" s="1156" t="s">
        <v>959</v>
      </c>
      <c r="Q5" s="1156" t="s">
        <v>960</v>
      </c>
      <c r="R5" s="1154" t="s">
        <v>447</v>
      </c>
      <c r="T5" s="1154" t="s">
        <v>472</v>
      </c>
      <c r="U5" s="1155" t="s">
        <v>471</v>
      </c>
      <c r="V5" s="1154" t="s">
        <v>927</v>
      </c>
      <c r="W5" s="1155" t="s">
        <v>866</v>
      </c>
      <c r="X5" s="1155" t="s">
        <v>867</v>
      </c>
      <c r="Y5" s="1156" t="s">
        <v>959</v>
      </c>
      <c r="Z5" s="1156" t="s">
        <v>960</v>
      </c>
      <c r="AA5" s="1154" t="s">
        <v>447</v>
      </c>
      <c r="AC5" s="1154" t="s">
        <v>472</v>
      </c>
      <c r="AD5" s="1155" t="s">
        <v>471</v>
      </c>
      <c r="AE5" s="1154" t="s">
        <v>927</v>
      </c>
      <c r="AF5" s="1155" t="s">
        <v>866</v>
      </c>
      <c r="AG5" s="1155" t="s">
        <v>867</v>
      </c>
      <c r="AH5" s="1156" t="s">
        <v>959</v>
      </c>
      <c r="AI5" s="1156" t="s">
        <v>960</v>
      </c>
      <c r="AJ5" s="1154" t="s">
        <v>447</v>
      </c>
      <c r="AL5" s="1154" t="s">
        <v>472</v>
      </c>
      <c r="AM5" s="1155" t="s">
        <v>471</v>
      </c>
      <c r="AN5" s="1154" t="s">
        <v>927</v>
      </c>
      <c r="AO5" s="1155" t="s">
        <v>866</v>
      </c>
      <c r="AP5" s="1155" t="s">
        <v>867</v>
      </c>
      <c r="AQ5" s="1156" t="s">
        <v>959</v>
      </c>
      <c r="AR5" s="1156" t="s">
        <v>960</v>
      </c>
      <c r="AS5" s="1154" t="s">
        <v>447</v>
      </c>
      <c r="AU5" s="1154" t="s">
        <v>472</v>
      </c>
      <c r="AV5" s="1155" t="s">
        <v>471</v>
      </c>
      <c r="AW5" s="1154" t="s">
        <v>927</v>
      </c>
      <c r="AX5" s="1155" t="s">
        <v>866</v>
      </c>
      <c r="AY5" s="1155" t="s">
        <v>867</v>
      </c>
      <c r="AZ5" s="1156" t="s">
        <v>959</v>
      </c>
      <c r="BA5" s="1156" t="s">
        <v>960</v>
      </c>
      <c r="BB5" s="1154" t="s">
        <v>447</v>
      </c>
      <c r="BD5" s="1154" t="s">
        <v>472</v>
      </c>
      <c r="BE5" s="1155" t="s">
        <v>471</v>
      </c>
      <c r="BF5" s="1154" t="s">
        <v>927</v>
      </c>
      <c r="BG5" s="1155" t="s">
        <v>866</v>
      </c>
      <c r="BH5" s="1155" t="s">
        <v>867</v>
      </c>
      <c r="BI5" s="1156" t="s">
        <v>959</v>
      </c>
      <c r="BJ5" s="1156" t="s">
        <v>960</v>
      </c>
      <c r="BK5" s="1154" t="s">
        <v>447</v>
      </c>
      <c r="BL5" s="1069" t="s">
        <v>472</v>
      </c>
      <c r="BM5" s="1104" t="s">
        <v>471</v>
      </c>
      <c r="BN5" s="1069" t="s">
        <v>927</v>
      </c>
      <c r="BO5" s="1104" t="s">
        <v>866</v>
      </c>
      <c r="BP5" s="1104" t="s">
        <v>867</v>
      </c>
      <c r="BQ5" s="1103" t="s">
        <v>959</v>
      </c>
      <c r="BR5" s="1103" t="s">
        <v>958</v>
      </c>
      <c r="BS5" s="1069" t="s">
        <v>447</v>
      </c>
      <c r="BU5" s="1069" t="s">
        <v>472</v>
      </c>
      <c r="BV5" s="1104" t="s">
        <v>471</v>
      </c>
      <c r="BW5" s="1069" t="s">
        <v>927</v>
      </c>
      <c r="BX5" s="1104" t="s">
        <v>866</v>
      </c>
      <c r="BY5" s="1104" t="s">
        <v>867</v>
      </c>
      <c r="BZ5" s="1103" t="s">
        <v>959</v>
      </c>
      <c r="CA5" s="1103" t="s">
        <v>958</v>
      </c>
      <c r="CB5" s="1069" t="s">
        <v>447</v>
      </c>
      <c r="CD5" s="1069" t="s">
        <v>472</v>
      </c>
      <c r="CE5" s="1104" t="s">
        <v>471</v>
      </c>
      <c r="CF5" s="1069" t="s">
        <v>927</v>
      </c>
      <c r="CG5" s="1104" t="s">
        <v>866</v>
      </c>
      <c r="CH5" s="1104" t="s">
        <v>867</v>
      </c>
      <c r="CI5" s="1103" t="s">
        <v>959</v>
      </c>
      <c r="CJ5" s="1103" t="s">
        <v>958</v>
      </c>
      <c r="CK5" s="1069" t="s">
        <v>447</v>
      </c>
      <c r="CM5" s="1069" t="s">
        <v>472</v>
      </c>
      <c r="CN5" s="1104" t="s">
        <v>471</v>
      </c>
      <c r="CO5" s="1069" t="s">
        <v>927</v>
      </c>
      <c r="CP5" s="1104" t="s">
        <v>866</v>
      </c>
      <c r="CQ5" s="1104" t="s">
        <v>867</v>
      </c>
      <c r="CR5" s="1103" t="s">
        <v>959</v>
      </c>
      <c r="CS5" s="1103" t="s">
        <v>958</v>
      </c>
      <c r="CT5" s="1069" t="s">
        <v>447</v>
      </c>
      <c r="CV5" s="1069" t="s">
        <v>472</v>
      </c>
      <c r="CW5" s="1104" t="s">
        <v>471</v>
      </c>
      <c r="CX5" s="1069" t="s">
        <v>927</v>
      </c>
      <c r="CY5" s="1104" t="s">
        <v>866</v>
      </c>
      <c r="CZ5" s="1104" t="s">
        <v>867</v>
      </c>
      <c r="DA5" s="1103" t="s">
        <v>959</v>
      </c>
      <c r="DB5" s="1103" t="s">
        <v>958</v>
      </c>
      <c r="DC5" s="1069" t="s">
        <v>447</v>
      </c>
      <c r="DE5" s="1069" t="s">
        <v>472</v>
      </c>
      <c r="DF5" s="1104" t="s">
        <v>471</v>
      </c>
      <c r="DG5" s="1069" t="s">
        <v>927</v>
      </c>
      <c r="DH5" s="1104" t="s">
        <v>866</v>
      </c>
      <c r="DI5" s="1104" t="s">
        <v>867</v>
      </c>
      <c r="DJ5" s="1103" t="s">
        <v>959</v>
      </c>
      <c r="DK5" s="1103" t="s">
        <v>958</v>
      </c>
      <c r="DL5" s="1069" t="s">
        <v>447</v>
      </c>
      <c r="DN5" s="1069" t="s">
        <v>472</v>
      </c>
      <c r="DO5" s="1104" t="s">
        <v>471</v>
      </c>
      <c r="DP5" s="1069" t="s">
        <v>927</v>
      </c>
      <c r="DQ5" s="1104" t="s">
        <v>866</v>
      </c>
      <c r="DR5" s="1104" t="s">
        <v>867</v>
      </c>
      <c r="DS5" s="1103" t="s">
        <v>869</v>
      </c>
      <c r="DT5" s="1103" t="s">
        <v>868</v>
      </c>
      <c r="DU5" s="1069" t="s">
        <v>447</v>
      </c>
      <c r="DW5" s="1069" t="s">
        <v>472</v>
      </c>
      <c r="DX5" s="1104" t="s">
        <v>471</v>
      </c>
      <c r="DY5" s="1069" t="s">
        <v>927</v>
      </c>
      <c r="DZ5" s="1104" t="s">
        <v>866</v>
      </c>
      <c r="EA5" s="1104" t="s">
        <v>867</v>
      </c>
      <c r="EB5" s="1103" t="s">
        <v>869</v>
      </c>
      <c r="EC5" s="1103" t="s">
        <v>868</v>
      </c>
      <c r="ED5" s="1069" t="s">
        <v>447</v>
      </c>
      <c r="EF5" s="1069" t="s">
        <v>472</v>
      </c>
      <c r="EG5" s="1104" t="s">
        <v>471</v>
      </c>
      <c r="EH5" s="1069" t="s">
        <v>927</v>
      </c>
      <c r="EI5" s="1104" t="s">
        <v>866</v>
      </c>
      <c r="EJ5" s="1104" t="s">
        <v>867</v>
      </c>
      <c r="EK5" s="1103" t="s">
        <v>869</v>
      </c>
      <c r="EL5" s="1103" t="s">
        <v>868</v>
      </c>
      <c r="EM5" s="1069" t="s">
        <v>447</v>
      </c>
      <c r="EO5" s="1069" t="s">
        <v>472</v>
      </c>
      <c r="EP5" s="1104" t="s">
        <v>471</v>
      </c>
      <c r="EQ5" s="1069" t="s">
        <v>927</v>
      </c>
      <c r="ER5" s="1104" t="s">
        <v>866</v>
      </c>
      <c r="ES5" s="1104" t="s">
        <v>867</v>
      </c>
      <c r="ET5" s="1103" t="s">
        <v>869</v>
      </c>
      <c r="EU5" s="1103" t="s">
        <v>868</v>
      </c>
      <c r="EV5" s="1069" t="s">
        <v>447</v>
      </c>
      <c r="EX5" s="1069" t="s">
        <v>472</v>
      </c>
      <c r="EY5" s="1104" t="s">
        <v>471</v>
      </c>
      <c r="EZ5" s="1069" t="s">
        <v>927</v>
      </c>
      <c r="FA5" s="1104" t="s">
        <v>866</v>
      </c>
      <c r="FB5" s="1104" t="s">
        <v>867</v>
      </c>
      <c r="FC5" s="1103" t="s">
        <v>869</v>
      </c>
      <c r="FD5" s="1103" t="s">
        <v>868</v>
      </c>
      <c r="FE5" s="1069" t="s">
        <v>447</v>
      </c>
      <c r="FG5" s="1069" t="s">
        <v>472</v>
      </c>
      <c r="FH5" s="1104" t="s">
        <v>471</v>
      </c>
      <c r="FI5" s="1069" t="s">
        <v>927</v>
      </c>
      <c r="FJ5" s="1104" t="s">
        <v>866</v>
      </c>
      <c r="FK5" s="1104" t="s">
        <v>867</v>
      </c>
      <c r="FL5" s="1103" t="s">
        <v>869</v>
      </c>
      <c r="FM5" s="1103" t="s">
        <v>868</v>
      </c>
      <c r="FN5" s="1069" t="s">
        <v>447</v>
      </c>
      <c r="FP5" s="1069" t="s">
        <v>472</v>
      </c>
      <c r="FQ5" s="1104" t="s">
        <v>471</v>
      </c>
      <c r="FR5" s="1069" t="s">
        <v>927</v>
      </c>
      <c r="FS5" s="1104" t="s">
        <v>866</v>
      </c>
      <c r="FT5" s="1104" t="s">
        <v>867</v>
      </c>
      <c r="FU5" s="1103" t="s">
        <v>869</v>
      </c>
      <c r="FV5" s="1103" t="s">
        <v>868</v>
      </c>
      <c r="FW5" s="1069" t="s">
        <v>447</v>
      </c>
      <c r="FY5" s="1069" t="s">
        <v>472</v>
      </c>
      <c r="FZ5" s="1104" t="s">
        <v>471</v>
      </c>
      <c r="GA5" s="1070" t="s">
        <v>927</v>
      </c>
      <c r="GB5" s="1103" t="s">
        <v>866</v>
      </c>
      <c r="GC5" s="1103" t="s">
        <v>867</v>
      </c>
      <c r="GD5" s="1103" t="s">
        <v>869</v>
      </c>
      <c r="GE5" s="1103" t="s">
        <v>868</v>
      </c>
      <c r="GF5" s="1069" t="s">
        <v>447</v>
      </c>
      <c r="GH5" s="1069" t="s">
        <v>472</v>
      </c>
      <c r="GI5" s="1104" t="s">
        <v>471</v>
      </c>
      <c r="GJ5" s="1070" t="s">
        <v>927</v>
      </c>
      <c r="GK5" s="1103" t="s">
        <v>866</v>
      </c>
      <c r="GL5" s="1103" t="s">
        <v>867</v>
      </c>
      <c r="GM5" s="1103" t="s">
        <v>869</v>
      </c>
      <c r="GN5" s="1103" t="s">
        <v>868</v>
      </c>
      <c r="GO5" s="1069" t="s">
        <v>447</v>
      </c>
      <c r="GQ5" s="1069" t="s">
        <v>472</v>
      </c>
      <c r="GR5" s="1104" t="s">
        <v>471</v>
      </c>
      <c r="GS5" s="1070" t="s">
        <v>927</v>
      </c>
      <c r="GT5" s="1103" t="s">
        <v>866</v>
      </c>
      <c r="GU5" s="1103" t="s">
        <v>867</v>
      </c>
      <c r="GV5" s="1103" t="s">
        <v>869</v>
      </c>
      <c r="GW5" s="1103" t="s">
        <v>868</v>
      </c>
      <c r="GX5" s="1069" t="s">
        <v>447</v>
      </c>
      <c r="GZ5" s="1069" t="s">
        <v>472</v>
      </c>
      <c r="HA5" s="1104" t="s">
        <v>471</v>
      </c>
      <c r="HB5" s="1070" t="s">
        <v>927</v>
      </c>
      <c r="HC5" s="1103" t="s">
        <v>866</v>
      </c>
      <c r="HD5" s="1103" t="s">
        <v>867</v>
      </c>
      <c r="HE5" s="1103" t="s">
        <v>869</v>
      </c>
      <c r="HF5" s="1103" t="s">
        <v>868</v>
      </c>
      <c r="HG5" s="1069" t="s">
        <v>447</v>
      </c>
      <c r="HI5" s="1069" t="s">
        <v>472</v>
      </c>
      <c r="HJ5" s="1104" t="s">
        <v>471</v>
      </c>
      <c r="HK5" s="1070" t="s">
        <v>927</v>
      </c>
      <c r="HL5" s="1103" t="s">
        <v>866</v>
      </c>
      <c r="HM5" s="1103" t="s">
        <v>867</v>
      </c>
      <c r="HN5" s="1103" t="s">
        <v>869</v>
      </c>
      <c r="HO5" s="1103" t="s">
        <v>868</v>
      </c>
      <c r="HP5" s="1069" t="s">
        <v>447</v>
      </c>
      <c r="HR5" s="1069" t="s">
        <v>472</v>
      </c>
      <c r="HS5" s="1104" t="s">
        <v>471</v>
      </c>
      <c r="HT5" s="1070" t="s">
        <v>927</v>
      </c>
      <c r="HU5" s="1103" t="s">
        <v>866</v>
      </c>
      <c r="HV5" s="1103" t="s">
        <v>867</v>
      </c>
      <c r="HW5" s="1103" t="s">
        <v>869</v>
      </c>
      <c r="HX5" s="1103" t="s">
        <v>868</v>
      </c>
      <c r="HY5" s="1069" t="s">
        <v>447</v>
      </c>
      <c r="IA5" s="1069" t="s">
        <v>472</v>
      </c>
      <c r="IB5" s="1104" t="s">
        <v>471</v>
      </c>
      <c r="IC5" s="1070" t="s">
        <v>927</v>
      </c>
      <c r="ID5" s="1103" t="s">
        <v>866</v>
      </c>
      <c r="IE5" s="1103" t="s">
        <v>867</v>
      </c>
      <c r="IF5" s="1103" t="s">
        <v>869</v>
      </c>
      <c r="IG5" s="1103" t="s">
        <v>868</v>
      </c>
      <c r="IH5" s="1069" t="s">
        <v>447</v>
      </c>
      <c r="IJ5" s="1069" t="s">
        <v>472</v>
      </c>
      <c r="IK5" s="1104" t="s">
        <v>471</v>
      </c>
      <c r="IL5" s="1070" t="s">
        <v>927</v>
      </c>
      <c r="IM5" s="1103" t="s">
        <v>866</v>
      </c>
      <c r="IN5" s="1103" t="s">
        <v>867</v>
      </c>
      <c r="IO5" s="1103" t="s">
        <v>869</v>
      </c>
      <c r="IP5" s="1103" t="s">
        <v>868</v>
      </c>
      <c r="IQ5" s="1069" t="s">
        <v>447</v>
      </c>
    </row>
    <row r="6" spans="2:251" ht="15.5" hidden="1" x14ac:dyDescent="0.35">
      <c r="B6" s="1159"/>
      <c r="C6" s="1160"/>
      <c r="D6" s="1161"/>
      <c r="E6" s="1160"/>
      <c r="F6" s="1160"/>
      <c r="G6" s="1160"/>
      <c r="H6" s="1160"/>
      <c r="I6" s="1161"/>
      <c r="J6" s="1162"/>
      <c r="K6" s="1159"/>
      <c r="L6" s="1160"/>
      <c r="M6" s="1161"/>
      <c r="N6" s="1160"/>
      <c r="O6" s="1160"/>
      <c r="P6" s="1163"/>
      <c r="Q6" s="1161"/>
      <c r="R6" s="1161"/>
      <c r="T6" s="1159"/>
      <c r="U6" s="1160"/>
      <c r="V6" s="1161"/>
      <c r="W6" s="1160"/>
      <c r="X6" s="1160"/>
      <c r="Y6" s="1163"/>
      <c r="Z6" s="1161"/>
      <c r="AA6" s="1161"/>
      <c r="AC6" s="1159"/>
      <c r="AD6" s="1160"/>
      <c r="AE6" s="1161"/>
      <c r="AF6" s="1160"/>
      <c r="AG6" s="1160"/>
      <c r="AH6" s="1163"/>
      <c r="AI6" s="1161"/>
      <c r="AJ6" s="1161"/>
      <c r="AL6" s="1159"/>
      <c r="AM6" s="1160"/>
      <c r="AN6" s="1161"/>
      <c r="AO6" s="1160"/>
      <c r="AP6" s="1160"/>
      <c r="AQ6" s="1163"/>
      <c r="AR6" s="1161"/>
      <c r="AS6" s="1164"/>
      <c r="AU6" s="1159"/>
      <c r="AV6" s="1160"/>
      <c r="AW6" s="1161"/>
      <c r="AX6" s="1160"/>
      <c r="AY6" s="1160"/>
      <c r="AZ6" s="1163"/>
      <c r="BA6" s="1161"/>
      <c r="BB6" s="1164"/>
      <c r="BD6" s="1159"/>
      <c r="BE6" s="1160"/>
      <c r="BF6" s="1161"/>
      <c r="BG6" s="1160"/>
      <c r="BH6" s="1160"/>
      <c r="BI6" s="1163"/>
      <c r="BJ6" s="1161"/>
      <c r="BK6" s="1161"/>
      <c r="BL6" s="1065"/>
      <c r="BM6" s="1067"/>
      <c r="BN6" s="1058"/>
      <c r="BO6" s="1067"/>
      <c r="BP6" s="1067"/>
      <c r="BQ6" s="1064"/>
      <c r="BR6" s="1058"/>
      <c r="BS6" s="1058"/>
      <c r="BU6" s="1065"/>
      <c r="BV6" s="1067"/>
      <c r="BW6" s="1058"/>
      <c r="BX6" s="1067"/>
      <c r="BY6" s="1067"/>
      <c r="BZ6" s="1064"/>
      <c r="CA6" s="1058"/>
      <c r="CB6" s="1066"/>
      <c r="CD6" s="1065"/>
      <c r="CE6" s="1067"/>
      <c r="CF6" s="1058"/>
      <c r="CG6" s="1067"/>
      <c r="CH6" s="1067"/>
      <c r="CI6" s="1064"/>
      <c r="CJ6" s="1058"/>
      <c r="CK6" s="1066"/>
      <c r="CM6" s="1065"/>
      <c r="CN6" s="1067"/>
      <c r="CO6" s="1058"/>
      <c r="CP6" s="1067"/>
      <c r="CQ6" s="1067"/>
      <c r="CR6" s="1064"/>
      <c r="CS6" s="1058"/>
      <c r="CT6" s="1066"/>
      <c r="CV6" s="1065"/>
      <c r="CW6" s="1067"/>
      <c r="CX6" s="1058"/>
      <c r="CY6" s="1067"/>
      <c r="CZ6" s="1067"/>
      <c r="DA6" s="1064"/>
      <c r="DB6" s="1058"/>
      <c r="DC6" s="1066"/>
      <c r="DE6" s="1065"/>
      <c r="DF6" s="1067"/>
      <c r="DG6" s="1058"/>
      <c r="DH6" s="1067"/>
      <c r="DI6" s="1067"/>
      <c r="DJ6" s="1064"/>
      <c r="DK6" s="1058"/>
      <c r="DL6" s="1066"/>
      <c r="DN6" s="1065"/>
      <c r="DO6" s="1067"/>
      <c r="DP6" s="1058"/>
      <c r="DQ6" s="1067"/>
      <c r="DR6" s="1067"/>
      <c r="DS6" s="1064"/>
      <c r="DT6" s="1058"/>
      <c r="DU6" s="1066"/>
      <c r="DW6" s="1065"/>
      <c r="DX6" s="1067"/>
      <c r="DY6" s="1058"/>
      <c r="DZ6" s="1067"/>
      <c r="EA6" s="1067"/>
      <c r="EB6" s="1064"/>
      <c r="EC6" s="1058"/>
      <c r="ED6" s="1066"/>
      <c r="EF6" s="1065"/>
      <c r="EG6" s="1067"/>
      <c r="EH6" s="1058"/>
      <c r="EI6" s="1067"/>
      <c r="EJ6" s="1067"/>
      <c r="EK6" s="1064"/>
      <c r="EL6" s="1058"/>
      <c r="EM6" s="1066"/>
      <c r="EO6" s="1065"/>
      <c r="EP6" s="1067"/>
      <c r="EQ6" s="1058"/>
      <c r="ER6" s="1067"/>
      <c r="ES6" s="1067"/>
      <c r="ET6" s="1064"/>
      <c r="EU6" s="1058"/>
      <c r="EV6" s="1066"/>
      <c r="EX6" s="1065"/>
      <c r="EY6" s="1067"/>
      <c r="EZ6" s="1058"/>
      <c r="FA6" s="1067"/>
      <c r="FB6" s="1067"/>
      <c r="FC6" s="1064"/>
      <c r="FD6" s="1058"/>
      <c r="FE6" s="1066"/>
      <c r="FG6" s="1065"/>
      <c r="FH6" s="1067"/>
      <c r="FI6" s="1058"/>
      <c r="FJ6" s="1067"/>
      <c r="FK6" s="1067"/>
      <c r="FL6" s="1064"/>
      <c r="FM6" s="1058"/>
      <c r="FN6" s="1066"/>
      <c r="FP6" s="1065"/>
      <c r="FQ6" s="1067"/>
      <c r="FR6" s="1058"/>
      <c r="FS6" s="1067"/>
      <c r="FT6" s="1067"/>
      <c r="FU6" s="1064"/>
      <c r="FV6" s="1058"/>
      <c r="FW6" s="1066"/>
      <c r="FY6" s="1065"/>
      <c r="FZ6" s="1067"/>
      <c r="GA6" s="1058"/>
      <c r="GB6" s="1067"/>
      <c r="GC6" s="1067"/>
      <c r="GD6" s="1064"/>
      <c r="GE6" s="1058"/>
      <c r="GF6" s="1066"/>
      <c r="GH6" s="1065"/>
      <c r="GI6" s="1067"/>
      <c r="GJ6" s="1058"/>
      <c r="GK6" s="1067"/>
      <c r="GL6" s="1067"/>
      <c r="GM6" s="1064"/>
      <c r="GN6" s="1058"/>
      <c r="GO6" s="1066"/>
      <c r="GQ6" s="1065"/>
      <c r="GR6" s="1067"/>
      <c r="GS6" s="1058"/>
      <c r="GT6" s="1067"/>
      <c r="GU6" s="1067"/>
      <c r="GV6" s="1064"/>
      <c r="GW6" s="1058"/>
      <c r="GX6" s="1066"/>
      <c r="GZ6" s="1065"/>
      <c r="HA6" s="1067"/>
      <c r="HB6" s="1058"/>
      <c r="HC6" s="1067"/>
      <c r="HD6" s="1067"/>
      <c r="HE6" s="1064"/>
      <c r="HF6" s="1058"/>
      <c r="HG6" s="1066"/>
      <c r="HI6" s="1065"/>
      <c r="HJ6" s="1067"/>
      <c r="HK6" s="1058"/>
      <c r="HL6" s="1067"/>
      <c r="HM6" s="1067"/>
      <c r="HN6" s="1064"/>
      <c r="HO6" s="1058"/>
      <c r="HP6" s="1066"/>
      <c r="HR6" s="1065"/>
      <c r="HS6" s="1067"/>
      <c r="HT6" s="1058"/>
      <c r="HU6" s="1067"/>
      <c r="HV6" s="1067"/>
      <c r="HW6" s="1064"/>
      <c r="HX6" s="1058"/>
      <c r="HY6" s="1066"/>
      <c r="IA6" s="1065"/>
      <c r="IB6" s="1067"/>
      <c r="IC6" s="1058"/>
      <c r="ID6" s="1067"/>
      <c r="IE6" s="1067"/>
      <c r="IF6" s="1064"/>
      <c r="IG6" s="1058"/>
      <c r="IH6" s="1066"/>
      <c r="IJ6" s="1065"/>
      <c r="IK6" s="1067"/>
      <c r="IL6" s="1058"/>
      <c r="IM6" s="1067"/>
      <c r="IN6" s="1067"/>
      <c r="IO6" s="1064"/>
      <c r="IP6" s="1058"/>
      <c r="IQ6" s="1066"/>
    </row>
    <row r="7" spans="2:251" ht="15.5" hidden="1" x14ac:dyDescent="0.35">
      <c r="B7" s="1161">
        <v>2010</v>
      </c>
      <c r="C7" s="1165">
        <v>5420</v>
      </c>
      <c r="D7" s="1166">
        <v>12810</v>
      </c>
      <c r="E7" s="1165">
        <v>2714</v>
      </c>
      <c r="F7" s="1165">
        <v>701</v>
      </c>
      <c r="G7" s="1165">
        <f>1425-F7</f>
        <v>724</v>
      </c>
      <c r="H7" s="1165"/>
      <c r="I7" s="1167">
        <f t="shared" ref="I7:I26" si="0">SUM(C7:H7)</f>
        <v>22369</v>
      </c>
      <c r="J7" s="1162"/>
      <c r="K7" s="1161">
        <v>2011</v>
      </c>
      <c r="L7" s="1160">
        <v>2100</v>
      </c>
      <c r="M7" s="1166">
        <v>31915</v>
      </c>
      <c r="N7" s="1165">
        <v>16712</v>
      </c>
      <c r="O7" s="1165">
        <v>2716</v>
      </c>
      <c r="P7" s="1166">
        <f>3889-O7</f>
        <v>1173</v>
      </c>
      <c r="Q7" s="1166"/>
      <c r="R7" s="1167">
        <f t="shared" ref="R7:R25" si="1">SUM(L7:Q7)</f>
        <v>54616</v>
      </c>
      <c r="T7" s="1161">
        <v>2011</v>
      </c>
      <c r="U7" s="1160">
        <v>3155</v>
      </c>
      <c r="V7" s="1166">
        <v>23887</v>
      </c>
      <c r="W7" s="1165">
        <v>11425</v>
      </c>
      <c r="X7" s="1165">
        <v>2334</v>
      </c>
      <c r="Y7" s="1166">
        <f>2732-X7</f>
        <v>398</v>
      </c>
      <c r="Z7" s="1166"/>
      <c r="AA7" s="1167">
        <f t="shared" ref="AA7:AA25" si="2">SUM(U7:Z7)</f>
        <v>41199</v>
      </c>
      <c r="AC7" s="1161">
        <v>2011</v>
      </c>
      <c r="AD7" s="1160">
        <v>700</v>
      </c>
      <c r="AE7" s="1166">
        <v>17674</v>
      </c>
      <c r="AF7" s="1165">
        <v>7432</v>
      </c>
      <c r="AG7" s="1165">
        <v>1488</v>
      </c>
      <c r="AH7" s="1166">
        <f>1885-AG7</f>
        <v>397</v>
      </c>
      <c r="AI7" s="1166"/>
      <c r="AJ7" s="1167">
        <f t="shared" ref="AJ7:AJ25" si="3">SUM(AD7:AI7)</f>
        <v>27691</v>
      </c>
      <c r="AL7" s="1161">
        <v>2011</v>
      </c>
      <c r="AM7" s="1160">
        <v>400</v>
      </c>
      <c r="AN7" s="1166">
        <v>10869</v>
      </c>
      <c r="AO7" s="1165">
        <v>4947</v>
      </c>
      <c r="AP7" s="1165">
        <v>1000</v>
      </c>
      <c r="AQ7" s="1166">
        <v>396</v>
      </c>
      <c r="AR7" s="1166"/>
      <c r="AS7" s="1167">
        <f t="shared" ref="AS7:AS25" si="4">SUM(AM7:AR7)</f>
        <v>17612</v>
      </c>
      <c r="AU7" s="1161">
        <v>2012</v>
      </c>
      <c r="AV7" s="1160">
        <v>2000</v>
      </c>
      <c r="AW7" s="1166">
        <v>32093</v>
      </c>
      <c r="AX7" s="1165">
        <v>17123</v>
      </c>
      <c r="AY7" s="1165">
        <v>3502</v>
      </c>
      <c r="AZ7" s="1166">
        <f>6217-AY7-497</f>
        <v>2218</v>
      </c>
      <c r="BA7" s="1166">
        <v>497</v>
      </c>
      <c r="BB7" s="1167">
        <f t="shared" ref="BB7:BB24" si="5">SUM(AV7:BA7)</f>
        <v>57433</v>
      </c>
      <c r="BD7" s="1161">
        <v>2012</v>
      </c>
      <c r="BE7" s="1168">
        <v>1000</v>
      </c>
      <c r="BF7" s="1169">
        <v>28945</v>
      </c>
      <c r="BG7" s="1168">
        <v>14617</v>
      </c>
      <c r="BH7" s="1168">
        <v>3003</v>
      </c>
      <c r="BI7" s="1169">
        <f>1583-497</f>
        <v>1086</v>
      </c>
      <c r="BJ7" s="1169">
        <v>497</v>
      </c>
      <c r="BK7" s="1170">
        <f t="shared" ref="BK7:BK24" si="6">SUM(BE7:BJ7)</f>
        <v>49148</v>
      </c>
      <c r="BL7" s="1058">
        <v>2012</v>
      </c>
      <c r="BM7" s="1085">
        <v>0</v>
      </c>
      <c r="BN7" s="1086">
        <v>21815</v>
      </c>
      <c r="BO7" s="1085">
        <v>9403</v>
      </c>
      <c r="BP7" s="1085">
        <v>2003</v>
      </c>
      <c r="BQ7" s="1086">
        <f>1583-497</f>
        <v>1086</v>
      </c>
      <c r="BR7" s="1086">
        <v>497</v>
      </c>
      <c r="BS7" s="1171">
        <f t="shared" ref="BS7:BS24" si="7">SUM(BM7:BR7)</f>
        <v>34804</v>
      </c>
      <c r="BU7" s="1058">
        <v>2012</v>
      </c>
      <c r="BV7" s="1085">
        <v>0</v>
      </c>
      <c r="BW7" s="1086">
        <v>10924</v>
      </c>
      <c r="BX7" s="1085">
        <v>5606</v>
      </c>
      <c r="BY7" s="1085">
        <v>1252</v>
      </c>
      <c r="BZ7" s="1086">
        <v>424</v>
      </c>
      <c r="CA7" s="1086">
        <v>497</v>
      </c>
      <c r="CB7" s="1171">
        <f t="shared" ref="CB7:CB24" si="8">SUM(BV7:CA7)</f>
        <v>18703</v>
      </c>
      <c r="CD7" s="1058">
        <v>2013</v>
      </c>
      <c r="CE7" s="1085">
        <v>1607</v>
      </c>
      <c r="CF7" s="1086">
        <v>29702</v>
      </c>
      <c r="CG7" s="1085">
        <v>11516</v>
      </c>
      <c r="CH7" s="1086">
        <v>3722</v>
      </c>
      <c r="CI7" s="1086">
        <v>746</v>
      </c>
      <c r="CJ7" s="1086"/>
      <c r="CK7" s="1171">
        <f t="shared" ref="CK7:CK23" si="9">SUM(CE7:CJ7)</f>
        <v>47293</v>
      </c>
      <c r="CM7" s="1058">
        <v>2013</v>
      </c>
      <c r="CN7" s="1085"/>
      <c r="CO7" s="1061">
        <v>26723</v>
      </c>
      <c r="CP7" s="1060">
        <v>7107</v>
      </c>
      <c r="CQ7" s="1061">
        <v>2973</v>
      </c>
      <c r="CR7" s="1061">
        <v>746</v>
      </c>
      <c r="CS7" s="1061"/>
      <c r="CT7" s="1059">
        <f t="shared" ref="CT7:CT23" si="10">SUM(CN7:CS7)</f>
        <v>37549</v>
      </c>
      <c r="CV7" s="1058">
        <v>2013</v>
      </c>
      <c r="CW7" s="1085">
        <v>19</v>
      </c>
      <c r="CX7" s="1061">
        <v>19123</v>
      </c>
      <c r="CY7" s="1060">
        <v>4249</v>
      </c>
      <c r="CZ7" s="1061">
        <v>1472</v>
      </c>
      <c r="DA7" s="1061">
        <v>746</v>
      </c>
      <c r="DB7" s="1061"/>
      <c r="DC7" s="1059">
        <f t="shared" ref="DC7:DC23" si="11">SUM(CW7:DB7)</f>
        <v>25609</v>
      </c>
      <c r="DE7" s="1058">
        <v>2013</v>
      </c>
      <c r="DF7" s="1085"/>
      <c r="DG7" s="1061">
        <v>9585</v>
      </c>
      <c r="DH7" s="1060">
        <v>1316</v>
      </c>
      <c r="DI7" s="1061">
        <v>1305</v>
      </c>
      <c r="DJ7" s="1061">
        <v>508</v>
      </c>
      <c r="DK7" s="1061"/>
      <c r="DL7" s="1059">
        <f t="shared" ref="DL7:DL23" si="12">SUM(DF7:DK7)</f>
        <v>12714</v>
      </c>
      <c r="DN7" s="1058">
        <v>2014</v>
      </c>
      <c r="DO7" s="1085">
        <v>1526</v>
      </c>
      <c r="DP7" s="1061">
        <v>26372</v>
      </c>
      <c r="DQ7" s="1060">
        <v>14785</v>
      </c>
      <c r="DR7" s="1061">
        <v>7770</v>
      </c>
      <c r="DS7" s="1061">
        <f>10310-DR7</f>
        <v>2540</v>
      </c>
      <c r="DT7" s="1061"/>
      <c r="DU7" s="1059">
        <f t="shared" ref="DU7:DU22" si="13">SUM(DO7:DT7)</f>
        <v>52993</v>
      </c>
      <c r="DW7" s="1058">
        <v>2014</v>
      </c>
      <c r="DX7" s="1085">
        <v>36</v>
      </c>
      <c r="DY7" s="1061">
        <v>22215</v>
      </c>
      <c r="DZ7" s="1060">
        <v>13363</v>
      </c>
      <c r="EA7" s="1061">
        <v>6770</v>
      </c>
      <c r="EB7" s="1061">
        <v>2540</v>
      </c>
      <c r="EC7" s="1061"/>
      <c r="ED7" s="1059">
        <f t="shared" ref="ED7:ED22" si="14">SUM(DX7:EC7)</f>
        <v>44924</v>
      </c>
      <c r="EF7" s="1058">
        <v>2014</v>
      </c>
      <c r="EG7" s="1085"/>
      <c r="EH7" s="1061">
        <v>16666</v>
      </c>
      <c r="EI7" s="1060">
        <v>11301</v>
      </c>
      <c r="EJ7" s="1061">
        <v>3243</v>
      </c>
      <c r="EK7" s="1061">
        <v>957</v>
      </c>
      <c r="EL7" s="1061"/>
      <c r="EM7" s="1059">
        <f t="shared" ref="EM7:EM22" si="15">SUM(EG7:EL7)</f>
        <v>32167</v>
      </c>
      <c r="EO7" s="1058">
        <v>2014</v>
      </c>
      <c r="EP7" s="1085"/>
      <c r="EQ7" s="1061">
        <v>8360</v>
      </c>
      <c r="ER7" s="1060">
        <v>9218</v>
      </c>
      <c r="ES7" s="1061">
        <v>1743</v>
      </c>
      <c r="ET7" s="1061">
        <v>497</v>
      </c>
      <c r="EU7" s="1061"/>
      <c r="EV7" s="1059">
        <f t="shared" ref="EV7:EV22" si="16">SUM(EP7:EU7)</f>
        <v>19818</v>
      </c>
      <c r="EX7" s="1058" t="s">
        <v>950</v>
      </c>
      <c r="EY7" s="1085"/>
      <c r="EZ7" s="1061">
        <v>14200</v>
      </c>
      <c r="FA7" s="1109">
        <v>6997</v>
      </c>
      <c r="FB7" s="1061">
        <v>6257</v>
      </c>
      <c r="FC7" s="1060">
        <v>2080</v>
      </c>
      <c r="FD7" s="1060"/>
      <c r="FE7" s="1059">
        <f t="shared" ref="FE7:FE22" si="17">SUM(EY7:FD7)</f>
        <v>29534</v>
      </c>
      <c r="FG7" s="1058" t="s">
        <v>950</v>
      </c>
      <c r="FH7" s="1085"/>
      <c r="FI7" s="1061">
        <v>5520</v>
      </c>
      <c r="FJ7" s="1109">
        <v>4465</v>
      </c>
      <c r="FK7" s="1061">
        <v>6257</v>
      </c>
      <c r="FL7" s="1060">
        <v>688</v>
      </c>
      <c r="FM7" s="1060"/>
      <c r="FN7" s="1059">
        <f t="shared" ref="FN7:FN22" si="18">SUM(FH7:FM7)</f>
        <v>16930</v>
      </c>
      <c r="FP7" s="1058" t="s">
        <v>948</v>
      </c>
      <c r="FQ7" s="1085">
        <v>114</v>
      </c>
      <c r="FR7" s="1061">
        <v>23754</v>
      </c>
      <c r="FS7" s="1060">
        <v>16924</v>
      </c>
      <c r="FT7" s="1061" t="s">
        <v>368</v>
      </c>
      <c r="FU7" s="1060">
        <v>3460</v>
      </c>
      <c r="FV7" s="1060">
        <v>151</v>
      </c>
      <c r="FW7" s="1059">
        <f t="shared" ref="FW7:FW21" si="19">SUM(FQ7:FV7)</f>
        <v>44403</v>
      </c>
      <c r="FY7" s="1058" t="s">
        <v>949</v>
      </c>
      <c r="FZ7" s="1085"/>
      <c r="GA7" s="1061">
        <v>21537</v>
      </c>
      <c r="GB7" s="1060">
        <v>14074</v>
      </c>
      <c r="GC7" s="1061"/>
      <c r="GD7" s="1060">
        <v>3171</v>
      </c>
      <c r="GE7" s="1060">
        <v>151</v>
      </c>
      <c r="GF7" s="1059">
        <f t="shared" ref="GF7:GF22" si="20">SUM(FZ7:GE7)</f>
        <v>38933</v>
      </c>
      <c r="GH7" s="1058" t="s">
        <v>949</v>
      </c>
      <c r="GI7" s="1085"/>
      <c r="GJ7" s="1061">
        <v>15886</v>
      </c>
      <c r="GK7" s="1060">
        <v>10065</v>
      </c>
      <c r="GL7" s="1061"/>
      <c r="GM7" s="1060">
        <f>3171-523-199</f>
        <v>2449</v>
      </c>
      <c r="GN7" s="1060">
        <v>151</v>
      </c>
      <c r="GO7" s="1059">
        <f t="shared" ref="GO7:GO22" si="21">SUM(GI7:GN7)</f>
        <v>28551</v>
      </c>
      <c r="GQ7" s="1064" t="s">
        <v>949</v>
      </c>
      <c r="GR7" s="1085"/>
      <c r="GS7" s="1061">
        <v>7502</v>
      </c>
      <c r="GT7" s="1060">
        <v>4565</v>
      </c>
      <c r="GU7" s="1061"/>
      <c r="GV7" s="1060">
        <f>3171-523-199-1407-786</f>
        <v>256</v>
      </c>
      <c r="GW7" s="1060">
        <v>151</v>
      </c>
      <c r="GX7" s="1059">
        <f t="shared" ref="GX7:GX24" si="22">SUM(GR7:GW7)</f>
        <v>12474</v>
      </c>
      <c r="GZ7" s="1058" t="s">
        <v>947</v>
      </c>
      <c r="HA7" s="1085"/>
      <c r="HB7" s="1061">
        <v>23110</v>
      </c>
      <c r="HC7" s="1060">
        <v>15470</v>
      </c>
      <c r="HD7" s="1061">
        <v>9544</v>
      </c>
      <c r="HE7" s="1060">
        <v>1363</v>
      </c>
      <c r="HF7" s="1060"/>
      <c r="HG7" s="1059">
        <f t="shared" ref="HG7:HG23" si="23">SUM(HA7:HF7)</f>
        <v>49487</v>
      </c>
      <c r="HI7" s="1064" t="s">
        <v>947</v>
      </c>
      <c r="HJ7" s="1085"/>
      <c r="HK7" s="1061">
        <v>18777</v>
      </c>
      <c r="HL7" s="1060">
        <v>10925</v>
      </c>
      <c r="HM7" s="1061">
        <v>4822</v>
      </c>
      <c r="HN7" s="1060">
        <v>734</v>
      </c>
      <c r="HO7" s="1060"/>
      <c r="HP7" s="1059">
        <f t="shared" ref="HP7:HP25" si="24">SUM(HJ7:HO7)</f>
        <v>35258</v>
      </c>
      <c r="HR7" s="1064" t="s">
        <v>947</v>
      </c>
      <c r="HS7" s="1085"/>
      <c r="HT7" s="1061">
        <v>16557</v>
      </c>
      <c r="HU7" s="1060">
        <v>10925</v>
      </c>
      <c r="HV7" s="1061">
        <v>4822</v>
      </c>
      <c r="HW7" s="1060">
        <v>31</v>
      </c>
      <c r="HX7" s="1060"/>
      <c r="HY7" s="1059">
        <f t="shared" ref="HY7:HY25" si="25">SUM(HS7:HX7)</f>
        <v>32335</v>
      </c>
      <c r="IA7" s="1064" t="s">
        <v>947</v>
      </c>
      <c r="IB7" s="1085"/>
      <c r="IC7" s="1061">
        <v>9540</v>
      </c>
      <c r="ID7" s="1060">
        <v>4400</v>
      </c>
      <c r="IE7" s="1061">
        <v>3322</v>
      </c>
      <c r="IF7" s="1116">
        <v>0</v>
      </c>
      <c r="IG7" s="1060"/>
      <c r="IH7" s="1059">
        <f t="shared" ref="IH7:IH24" si="26">SUM(IB7:IG7)</f>
        <v>17262</v>
      </c>
      <c r="IJ7" s="1058" t="s">
        <v>922</v>
      </c>
      <c r="IK7" s="1085"/>
      <c r="IL7" s="1061">
        <v>25831</v>
      </c>
      <c r="IM7" s="1060">
        <v>17820</v>
      </c>
      <c r="IN7" s="1061">
        <v>7190</v>
      </c>
      <c r="IO7" s="1060">
        <v>368</v>
      </c>
      <c r="IP7" s="1060"/>
      <c r="IQ7" s="1059">
        <f t="shared" ref="IQ7:IQ24" si="27">SUM(IK7:IP7)</f>
        <v>51209</v>
      </c>
    </row>
    <row r="8" spans="2:251" ht="15.5" hidden="1" x14ac:dyDescent="0.35">
      <c r="B8" s="1161">
        <v>2011</v>
      </c>
      <c r="C8" s="1160"/>
      <c r="D8" s="1166">
        <v>16626</v>
      </c>
      <c r="E8" s="1165">
        <v>16712</v>
      </c>
      <c r="F8" s="1165">
        <v>2716</v>
      </c>
      <c r="G8" s="1165">
        <f>3889-F8</f>
        <v>1173</v>
      </c>
      <c r="H8" s="1165"/>
      <c r="I8" s="1167">
        <f t="shared" si="0"/>
        <v>37227</v>
      </c>
      <c r="J8" s="1162"/>
      <c r="K8" s="1161">
        <v>2012</v>
      </c>
      <c r="L8" s="1160"/>
      <c r="M8" s="1161"/>
      <c r="N8" s="1165">
        <v>17123</v>
      </c>
      <c r="O8" s="1166">
        <v>3502</v>
      </c>
      <c r="P8" s="1166">
        <f>6217-O8-497</f>
        <v>2218</v>
      </c>
      <c r="Q8" s="1166">
        <v>497</v>
      </c>
      <c r="R8" s="1167">
        <f t="shared" si="1"/>
        <v>23340</v>
      </c>
      <c r="T8" s="1161">
        <v>2012</v>
      </c>
      <c r="U8" s="1160"/>
      <c r="V8" s="1166">
        <v>6740</v>
      </c>
      <c r="W8" s="1165">
        <v>17123</v>
      </c>
      <c r="X8" s="1166">
        <v>3502</v>
      </c>
      <c r="Y8" s="1166">
        <f>6217-X8-497</f>
        <v>2218</v>
      </c>
      <c r="Z8" s="1166">
        <v>497</v>
      </c>
      <c r="AA8" s="1167">
        <f t="shared" si="2"/>
        <v>30080</v>
      </c>
      <c r="AC8" s="1161">
        <v>2012</v>
      </c>
      <c r="AD8" s="1160">
        <v>1600</v>
      </c>
      <c r="AE8" s="1166">
        <v>13794</v>
      </c>
      <c r="AF8" s="1165">
        <v>17123</v>
      </c>
      <c r="AG8" s="1165">
        <v>3502</v>
      </c>
      <c r="AH8" s="1166">
        <f>6217-AG8-497</f>
        <v>2218</v>
      </c>
      <c r="AI8" s="1166">
        <v>497</v>
      </c>
      <c r="AJ8" s="1167">
        <f t="shared" si="3"/>
        <v>38734</v>
      </c>
      <c r="AL8" s="1161">
        <v>2012</v>
      </c>
      <c r="AM8" s="1160">
        <v>1600</v>
      </c>
      <c r="AN8" s="1166">
        <v>18887</v>
      </c>
      <c r="AO8" s="1165">
        <v>17123</v>
      </c>
      <c r="AP8" s="1165">
        <v>3502</v>
      </c>
      <c r="AQ8" s="1166">
        <f>6217-AP8-497</f>
        <v>2218</v>
      </c>
      <c r="AR8" s="1166">
        <v>497</v>
      </c>
      <c r="AS8" s="1167">
        <f t="shared" si="4"/>
        <v>43827</v>
      </c>
      <c r="AU8" s="1161">
        <v>2013</v>
      </c>
      <c r="AV8" s="1160">
        <v>2246</v>
      </c>
      <c r="AW8" s="1161"/>
      <c r="AX8" s="1165">
        <v>11516</v>
      </c>
      <c r="AY8" s="1166">
        <v>3722</v>
      </c>
      <c r="AZ8" s="1166">
        <f>4468-AY8</f>
        <v>746</v>
      </c>
      <c r="BA8" s="1166"/>
      <c r="BB8" s="1167">
        <f t="shared" si="5"/>
        <v>18230</v>
      </c>
      <c r="BD8" s="1161">
        <v>2013</v>
      </c>
      <c r="BE8" s="1168"/>
      <c r="BF8" s="1169">
        <v>3719</v>
      </c>
      <c r="BG8" s="1168">
        <v>11516</v>
      </c>
      <c r="BH8" s="1169">
        <v>3722</v>
      </c>
      <c r="BI8" s="1169">
        <f>4468-BH8</f>
        <v>746</v>
      </c>
      <c r="BJ8" s="1169"/>
      <c r="BK8" s="1170">
        <f t="shared" si="6"/>
        <v>19703</v>
      </c>
      <c r="BL8" s="1058">
        <v>2013</v>
      </c>
      <c r="BM8" s="1085"/>
      <c r="BN8" s="1086">
        <v>10840</v>
      </c>
      <c r="BO8" s="1085">
        <v>11516</v>
      </c>
      <c r="BP8" s="1086">
        <v>3722</v>
      </c>
      <c r="BQ8" s="1086">
        <f>4468-BP8</f>
        <v>746</v>
      </c>
      <c r="BR8" s="1086"/>
      <c r="BS8" s="1171">
        <f t="shared" si="7"/>
        <v>26824</v>
      </c>
      <c r="BU8" s="1058">
        <v>2013</v>
      </c>
      <c r="BV8" s="1085"/>
      <c r="BW8" s="1086">
        <v>17787</v>
      </c>
      <c r="BX8" s="1085">
        <v>11516</v>
      </c>
      <c r="BY8" s="1086">
        <v>3722</v>
      </c>
      <c r="BZ8" s="1086">
        <v>746</v>
      </c>
      <c r="CA8" s="1086"/>
      <c r="CB8" s="1171">
        <f t="shared" si="8"/>
        <v>33771</v>
      </c>
      <c r="CD8" s="1058">
        <v>2014</v>
      </c>
      <c r="CE8" s="1085"/>
      <c r="CF8" s="1086"/>
      <c r="CG8" s="1085">
        <v>14785</v>
      </c>
      <c r="CH8" s="1086">
        <v>7770</v>
      </c>
      <c r="CI8" s="1086">
        <f>10310-CH8</f>
        <v>2540</v>
      </c>
      <c r="CJ8" s="1086"/>
      <c r="CK8" s="1171">
        <f t="shared" si="9"/>
        <v>25095</v>
      </c>
      <c r="CM8" s="1058">
        <v>2014</v>
      </c>
      <c r="CN8" s="1085"/>
      <c r="CO8" s="1061">
        <v>4620</v>
      </c>
      <c r="CP8" s="1060">
        <v>14785</v>
      </c>
      <c r="CQ8" s="1061">
        <v>7770</v>
      </c>
      <c r="CR8" s="1061">
        <f>10310-CQ8</f>
        <v>2540</v>
      </c>
      <c r="CS8" s="1061"/>
      <c r="CT8" s="1059">
        <f t="shared" si="10"/>
        <v>29715</v>
      </c>
      <c r="CV8" s="1058">
        <v>2014</v>
      </c>
      <c r="CW8" s="1085"/>
      <c r="CX8" s="1061">
        <v>10870</v>
      </c>
      <c r="CY8" s="1060">
        <v>14785</v>
      </c>
      <c r="CZ8" s="1061">
        <v>7770</v>
      </c>
      <c r="DA8" s="1061">
        <f>10310-CZ8</f>
        <v>2540</v>
      </c>
      <c r="DB8" s="1061"/>
      <c r="DC8" s="1059">
        <f t="shared" si="11"/>
        <v>35965</v>
      </c>
      <c r="DE8" s="1058">
        <v>2014</v>
      </c>
      <c r="DF8" s="1085"/>
      <c r="DG8" s="1061">
        <v>19450</v>
      </c>
      <c r="DH8" s="1060">
        <v>14785</v>
      </c>
      <c r="DI8" s="1061">
        <v>7770</v>
      </c>
      <c r="DJ8" s="1061">
        <f>10310-DI8</f>
        <v>2540</v>
      </c>
      <c r="DK8" s="1061"/>
      <c r="DL8" s="1059">
        <f t="shared" si="12"/>
        <v>44545</v>
      </c>
      <c r="DN8" s="1058">
        <v>2015</v>
      </c>
      <c r="DO8" s="1085"/>
      <c r="DP8" s="1061"/>
      <c r="DQ8" s="1109">
        <v>13856</v>
      </c>
      <c r="DR8" s="1061">
        <v>6257</v>
      </c>
      <c r="DS8" s="1060">
        <f>9348-DR8</f>
        <v>3091</v>
      </c>
      <c r="DT8" s="1060"/>
      <c r="DU8" s="1059">
        <f t="shared" si="13"/>
        <v>23204</v>
      </c>
      <c r="DW8" s="1058">
        <v>2015</v>
      </c>
      <c r="DX8" s="1085"/>
      <c r="DY8" s="1061">
        <v>1980</v>
      </c>
      <c r="DZ8" s="1109">
        <v>13856</v>
      </c>
      <c r="EA8" s="1061">
        <v>6257</v>
      </c>
      <c r="EB8" s="1060">
        <f>9348-EA8</f>
        <v>3091</v>
      </c>
      <c r="EC8" s="1060"/>
      <c r="ED8" s="1059">
        <f t="shared" si="14"/>
        <v>25184</v>
      </c>
      <c r="EF8" s="1058">
        <v>2015</v>
      </c>
      <c r="EG8" s="1085"/>
      <c r="EH8" s="1061">
        <v>6710</v>
      </c>
      <c r="EI8" s="1109">
        <v>13856</v>
      </c>
      <c r="EJ8" s="1061">
        <v>6257</v>
      </c>
      <c r="EK8" s="1060">
        <f>9348-EJ8</f>
        <v>3091</v>
      </c>
      <c r="EL8" s="1060"/>
      <c r="EM8" s="1059">
        <f t="shared" si="15"/>
        <v>29914</v>
      </c>
      <c r="EO8" s="1058">
        <v>2015</v>
      </c>
      <c r="EP8" s="1085"/>
      <c r="EQ8" s="1061">
        <v>12930</v>
      </c>
      <c r="ER8" s="1109">
        <v>13856</v>
      </c>
      <c r="ES8" s="1061">
        <v>6257</v>
      </c>
      <c r="ET8" s="1060">
        <v>3091</v>
      </c>
      <c r="EU8" s="1060"/>
      <c r="EV8" s="1059">
        <f t="shared" si="16"/>
        <v>36134</v>
      </c>
      <c r="EX8" s="1058" t="s">
        <v>948</v>
      </c>
      <c r="EY8" s="1085"/>
      <c r="EZ8" s="1061">
        <v>8654</v>
      </c>
      <c r="FA8" s="1060">
        <v>16924</v>
      </c>
      <c r="FB8" s="1061" t="s">
        <v>368</v>
      </c>
      <c r="FC8" s="1060">
        <v>3460</v>
      </c>
      <c r="FD8" s="1060">
        <v>151</v>
      </c>
      <c r="FE8" s="1059">
        <f t="shared" si="17"/>
        <v>29189</v>
      </c>
      <c r="FG8" s="1058" t="s">
        <v>948</v>
      </c>
      <c r="FH8" s="1085"/>
      <c r="FI8" s="1061">
        <v>16624</v>
      </c>
      <c r="FJ8" s="1060">
        <v>16924</v>
      </c>
      <c r="FK8" s="1061" t="s">
        <v>368</v>
      </c>
      <c r="FL8" s="1060">
        <v>3460</v>
      </c>
      <c r="FM8" s="1060">
        <v>151</v>
      </c>
      <c r="FN8" s="1059">
        <f t="shared" si="18"/>
        <v>37159</v>
      </c>
      <c r="FP8" s="1058" t="s">
        <v>947</v>
      </c>
      <c r="FQ8" s="1085"/>
      <c r="FR8" s="1061"/>
      <c r="FS8" s="1060">
        <v>15470</v>
      </c>
      <c r="FT8" s="1061">
        <v>9544</v>
      </c>
      <c r="FU8" s="1060">
        <v>1363</v>
      </c>
      <c r="FV8" s="1060"/>
      <c r="FW8" s="1059">
        <f t="shared" si="19"/>
        <v>26377</v>
      </c>
      <c r="FY8" s="1058" t="s">
        <v>947</v>
      </c>
      <c r="FZ8" s="1085"/>
      <c r="GA8" s="1061">
        <v>2837</v>
      </c>
      <c r="GB8" s="1060">
        <v>15470</v>
      </c>
      <c r="GC8" s="1061">
        <v>9544</v>
      </c>
      <c r="GD8" s="1060">
        <v>1363</v>
      </c>
      <c r="GE8" s="1060"/>
      <c r="GF8" s="1059">
        <f t="shared" si="20"/>
        <v>29214</v>
      </c>
      <c r="GH8" s="1058" t="s">
        <v>947</v>
      </c>
      <c r="GI8" s="1085"/>
      <c r="GJ8" s="1061">
        <v>6631</v>
      </c>
      <c r="GK8" s="1060">
        <v>15470</v>
      </c>
      <c r="GL8" s="1061">
        <v>9544</v>
      </c>
      <c r="GM8" s="1060">
        <v>1363</v>
      </c>
      <c r="GN8" s="1060"/>
      <c r="GO8" s="1059">
        <f t="shared" si="21"/>
        <v>33008</v>
      </c>
      <c r="GQ8" s="1058" t="s">
        <v>947</v>
      </c>
      <c r="GR8" s="1085"/>
      <c r="GS8" s="1061">
        <v>16410</v>
      </c>
      <c r="GT8" s="1060">
        <v>15470</v>
      </c>
      <c r="GU8" s="1061">
        <v>9544</v>
      </c>
      <c r="GV8" s="1060">
        <v>1363</v>
      </c>
      <c r="GW8" s="1060"/>
      <c r="GX8" s="1059">
        <f t="shared" si="22"/>
        <v>42787</v>
      </c>
      <c r="GZ8" s="1058" t="s">
        <v>922</v>
      </c>
      <c r="HA8" s="1085"/>
      <c r="HB8" s="1061"/>
      <c r="HC8" s="1060">
        <v>18520</v>
      </c>
      <c r="HD8" s="1061">
        <v>7190</v>
      </c>
      <c r="HE8" s="1060">
        <v>368</v>
      </c>
      <c r="HF8" s="1060"/>
      <c r="HG8" s="1059">
        <f t="shared" si="23"/>
        <v>26078</v>
      </c>
      <c r="HI8" s="1058" t="s">
        <v>922</v>
      </c>
      <c r="HJ8" s="1085"/>
      <c r="HK8" s="1061">
        <v>3846</v>
      </c>
      <c r="HL8" s="1060">
        <v>18520</v>
      </c>
      <c r="HM8" s="1061">
        <v>7190</v>
      </c>
      <c r="HN8" s="1060">
        <v>368</v>
      </c>
      <c r="HO8" s="1060"/>
      <c r="HP8" s="1059">
        <f t="shared" si="24"/>
        <v>29924</v>
      </c>
      <c r="HR8" s="1058" t="s">
        <v>922</v>
      </c>
      <c r="HS8" s="1085"/>
      <c r="HT8" s="1061">
        <v>7382</v>
      </c>
      <c r="HU8" s="1060">
        <v>18520</v>
      </c>
      <c r="HV8" s="1061">
        <v>7190</v>
      </c>
      <c r="HW8" s="1060">
        <v>368</v>
      </c>
      <c r="HX8" s="1060"/>
      <c r="HY8" s="1059">
        <f t="shared" si="25"/>
        <v>33460</v>
      </c>
      <c r="IA8" s="1058" t="s">
        <v>922</v>
      </c>
      <c r="IB8" s="1085"/>
      <c r="IC8" s="1061">
        <v>15431</v>
      </c>
      <c r="ID8" s="1060">
        <v>18520</v>
      </c>
      <c r="IE8" s="1061">
        <v>7190</v>
      </c>
      <c r="IF8" s="1060">
        <v>368</v>
      </c>
      <c r="IG8" s="1060"/>
      <c r="IH8" s="1059">
        <f t="shared" si="26"/>
        <v>41509</v>
      </c>
      <c r="IJ8" s="1058" t="s">
        <v>921</v>
      </c>
      <c r="IK8" s="1085"/>
      <c r="IL8" s="1061"/>
      <c r="IM8" s="1060">
        <v>19441</v>
      </c>
      <c r="IN8" s="1060">
        <v>10120</v>
      </c>
      <c r="IO8" s="1060">
        <v>1610</v>
      </c>
      <c r="IP8" s="1060"/>
      <c r="IQ8" s="1059">
        <f t="shared" si="27"/>
        <v>31171</v>
      </c>
    </row>
    <row r="9" spans="2:251" ht="15.5" hidden="1" x14ac:dyDescent="0.35">
      <c r="B9" s="1161">
        <v>2012</v>
      </c>
      <c r="C9" s="1160"/>
      <c r="D9" s="1161"/>
      <c r="E9" s="1165">
        <v>13875</v>
      </c>
      <c r="F9" s="1165">
        <v>3502</v>
      </c>
      <c r="G9" s="1165">
        <f>6217-F9-497</f>
        <v>2218</v>
      </c>
      <c r="H9" s="1165">
        <v>497</v>
      </c>
      <c r="I9" s="1167">
        <f t="shared" si="0"/>
        <v>20092</v>
      </c>
      <c r="J9" s="1162"/>
      <c r="K9" s="1161">
        <v>2013</v>
      </c>
      <c r="L9" s="1160"/>
      <c r="M9" s="1161"/>
      <c r="N9" s="1165">
        <v>7441</v>
      </c>
      <c r="O9" s="1166">
        <v>3722</v>
      </c>
      <c r="P9" s="1166">
        <f>4468-O9</f>
        <v>746</v>
      </c>
      <c r="Q9" s="1166"/>
      <c r="R9" s="1167">
        <f t="shared" si="1"/>
        <v>11909</v>
      </c>
      <c r="T9" s="1161">
        <v>2013</v>
      </c>
      <c r="U9" s="1160"/>
      <c r="V9" s="1161"/>
      <c r="W9" s="1165">
        <v>9049</v>
      </c>
      <c r="X9" s="1166">
        <v>3722</v>
      </c>
      <c r="Y9" s="1166">
        <f>4468-X9</f>
        <v>746</v>
      </c>
      <c r="Z9" s="1166"/>
      <c r="AA9" s="1167">
        <f t="shared" si="2"/>
        <v>13517</v>
      </c>
      <c r="AC9" s="1161">
        <v>2013</v>
      </c>
      <c r="AD9" s="1160"/>
      <c r="AE9" s="1161"/>
      <c r="AF9" s="1165">
        <v>10136</v>
      </c>
      <c r="AG9" s="1166">
        <v>3722</v>
      </c>
      <c r="AH9" s="1166">
        <f>4468-AG9</f>
        <v>746</v>
      </c>
      <c r="AI9" s="1166"/>
      <c r="AJ9" s="1167">
        <f t="shared" si="3"/>
        <v>14604</v>
      </c>
      <c r="AL9" s="1161">
        <v>2013</v>
      </c>
      <c r="AM9" s="1160"/>
      <c r="AN9" s="1161"/>
      <c r="AO9" s="1165">
        <v>11376</v>
      </c>
      <c r="AP9" s="1166">
        <v>3722</v>
      </c>
      <c r="AQ9" s="1166">
        <f>4468-AP9</f>
        <v>746</v>
      </c>
      <c r="AR9" s="1166"/>
      <c r="AS9" s="1167">
        <f t="shared" si="4"/>
        <v>15844</v>
      </c>
      <c r="AU9" s="1161">
        <v>2014</v>
      </c>
      <c r="AV9" s="1160"/>
      <c r="AW9" s="1161"/>
      <c r="AX9" s="1165">
        <v>8141</v>
      </c>
      <c r="AY9" s="1166">
        <v>7770</v>
      </c>
      <c r="AZ9" s="1166">
        <f>10310-AY9</f>
        <v>2540</v>
      </c>
      <c r="BA9" s="1166"/>
      <c r="BB9" s="1167">
        <f t="shared" si="5"/>
        <v>18451</v>
      </c>
      <c r="BD9" s="1161">
        <v>2014</v>
      </c>
      <c r="BE9" s="1168"/>
      <c r="BF9" s="1169"/>
      <c r="BG9" s="1168">
        <v>10940</v>
      </c>
      <c r="BH9" s="1169">
        <v>7770</v>
      </c>
      <c r="BI9" s="1169">
        <f>10310-BH9</f>
        <v>2540</v>
      </c>
      <c r="BJ9" s="1169"/>
      <c r="BK9" s="1170">
        <f t="shared" si="6"/>
        <v>21250</v>
      </c>
      <c r="BL9" s="1058">
        <v>2014</v>
      </c>
      <c r="BM9" s="1085"/>
      <c r="BN9" s="1086"/>
      <c r="BO9" s="1085">
        <v>12340</v>
      </c>
      <c r="BP9" s="1086">
        <v>7770</v>
      </c>
      <c r="BQ9" s="1086">
        <f>10310-BP9</f>
        <v>2540</v>
      </c>
      <c r="BR9" s="1086"/>
      <c r="BS9" s="1171">
        <f t="shared" si="7"/>
        <v>22650</v>
      </c>
      <c r="BU9" s="1058">
        <v>2014</v>
      </c>
      <c r="BV9" s="1085"/>
      <c r="BW9" s="1086"/>
      <c r="BX9" s="1085">
        <v>14785</v>
      </c>
      <c r="BY9" s="1086">
        <v>7770</v>
      </c>
      <c r="BZ9" s="1086">
        <f>10310-BY9</f>
        <v>2540</v>
      </c>
      <c r="CA9" s="1086"/>
      <c r="CB9" s="1171">
        <f t="shared" si="8"/>
        <v>25095</v>
      </c>
      <c r="CD9" s="1058">
        <v>2015</v>
      </c>
      <c r="CE9" s="1085"/>
      <c r="CF9" s="1086"/>
      <c r="CG9" s="1172">
        <v>13856</v>
      </c>
      <c r="CH9" s="1086">
        <v>6257</v>
      </c>
      <c r="CI9" s="1085">
        <f>9348-CH9</f>
        <v>3091</v>
      </c>
      <c r="CJ9" s="1085"/>
      <c r="CK9" s="1171">
        <f t="shared" si="9"/>
        <v>23204</v>
      </c>
      <c r="CM9" s="1058">
        <v>2015</v>
      </c>
      <c r="CN9" s="1085"/>
      <c r="CO9" s="1061"/>
      <c r="CP9" s="1109">
        <v>13856</v>
      </c>
      <c r="CQ9" s="1061">
        <v>6257</v>
      </c>
      <c r="CR9" s="1060">
        <f>9348-CQ9</f>
        <v>3091</v>
      </c>
      <c r="CS9" s="1060"/>
      <c r="CT9" s="1059">
        <f t="shared" si="10"/>
        <v>23204</v>
      </c>
      <c r="CV9" s="1058">
        <v>2015</v>
      </c>
      <c r="CW9" s="1085"/>
      <c r="CX9" s="1061"/>
      <c r="CY9" s="1109">
        <v>13856</v>
      </c>
      <c r="CZ9" s="1061">
        <v>6257</v>
      </c>
      <c r="DA9" s="1060">
        <f>9348-CZ9</f>
        <v>3091</v>
      </c>
      <c r="DB9" s="1060"/>
      <c r="DC9" s="1059">
        <f t="shared" si="11"/>
        <v>23204</v>
      </c>
      <c r="DE9" s="1058">
        <v>2015</v>
      </c>
      <c r="DF9" s="1085"/>
      <c r="DG9" s="1061"/>
      <c r="DH9" s="1109">
        <v>13856</v>
      </c>
      <c r="DI9" s="1061">
        <v>6257</v>
      </c>
      <c r="DJ9" s="1060">
        <f>9348-DI9</f>
        <v>3091</v>
      </c>
      <c r="DK9" s="1060"/>
      <c r="DL9" s="1059">
        <f t="shared" si="12"/>
        <v>23204</v>
      </c>
      <c r="DN9" s="1058">
        <v>2016</v>
      </c>
      <c r="DO9" s="1085"/>
      <c r="DP9" s="1061"/>
      <c r="DQ9" s="1060">
        <v>14610</v>
      </c>
      <c r="DR9" s="1061">
        <v>4722</v>
      </c>
      <c r="DS9" s="1060">
        <f>3933-151</f>
        <v>3782</v>
      </c>
      <c r="DT9" s="1060">
        <v>151</v>
      </c>
      <c r="DU9" s="1059">
        <f t="shared" si="13"/>
        <v>23265</v>
      </c>
      <c r="DW9" s="1058">
        <v>2016</v>
      </c>
      <c r="DX9" s="1085"/>
      <c r="DY9" s="1061"/>
      <c r="DZ9" s="1060">
        <v>14610</v>
      </c>
      <c r="EA9" s="1061">
        <v>4722</v>
      </c>
      <c r="EB9" s="1060">
        <f>3933-151</f>
        <v>3782</v>
      </c>
      <c r="EC9" s="1060">
        <v>151</v>
      </c>
      <c r="ED9" s="1059">
        <f t="shared" si="14"/>
        <v>23265</v>
      </c>
      <c r="EF9" s="1058">
        <v>2016</v>
      </c>
      <c r="EG9" s="1085"/>
      <c r="EH9" s="1061"/>
      <c r="EI9" s="1060">
        <v>14610</v>
      </c>
      <c r="EJ9" s="1061">
        <v>4722</v>
      </c>
      <c r="EK9" s="1060">
        <f>3933-151</f>
        <v>3782</v>
      </c>
      <c r="EL9" s="1060">
        <v>151</v>
      </c>
      <c r="EM9" s="1059">
        <f t="shared" si="15"/>
        <v>23265</v>
      </c>
      <c r="EO9" s="1058">
        <v>2016</v>
      </c>
      <c r="EP9" s="1085"/>
      <c r="EQ9" s="1061"/>
      <c r="ER9" s="1060">
        <v>14610</v>
      </c>
      <c r="ES9" s="1061">
        <v>4722</v>
      </c>
      <c r="ET9" s="1060">
        <v>3782</v>
      </c>
      <c r="EU9" s="1060">
        <v>151</v>
      </c>
      <c r="EV9" s="1059">
        <f t="shared" si="16"/>
        <v>23265</v>
      </c>
      <c r="EX9" s="1058" t="s">
        <v>947</v>
      </c>
      <c r="EY9" s="1085"/>
      <c r="EZ9" s="1061"/>
      <c r="FA9" s="1060">
        <v>15470</v>
      </c>
      <c r="FB9" s="1061">
        <v>9544</v>
      </c>
      <c r="FC9" s="1060">
        <v>1363</v>
      </c>
      <c r="FD9" s="1060"/>
      <c r="FE9" s="1059">
        <f t="shared" si="17"/>
        <v>26377</v>
      </c>
      <c r="FG9" s="1058" t="s">
        <v>947</v>
      </c>
      <c r="FH9" s="1085"/>
      <c r="FI9" s="1061"/>
      <c r="FJ9" s="1060">
        <v>15470</v>
      </c>
      <c r="FK9" s="1061">
        <v>9544</v>
      </c>
      <c r="FL9" s="1060">
        <v>1363</v>
      </c>
      <c r="FM9" s="1060"/>
      <c r="FN9" s="1059">
        <f t="shared" si="18"/>
        <v>26377</v>
      </c>
      <c r="FP9" s="1058" t="s">
        <v>922</v>
      </c>
      <c r="FQ9" s="1085"/>
      <c r="FR9" s="1061"/>
      <c r="FS9" s="1060">
        <v>17220</v>
      </c>
      <c r="FT9" s="1061">
        <v>7190</v>
      </c>
      <c r="FU9" s="1060">
        <v>368</v>
      </c>
      <c r="FV9" s="1060"/>
      <c r="FW9" s="1059">
        <f t="shared" si="19"/>
        <v>24778</v>
      </c>
      <c r="FY9" s="1058" t="s">
        <v>922</v>
      </c>
      <c r="FZ9" s="1085"/>
      <c r="GA9" s="1061"/>
      <c r="GB9" s="1060">
        <v>18520</v>
      </c>
      <c r="GC9" s="1061">
        <v>7190</v>
      </c>
      <c r="GD9" s="1060">
        <v>368</v>
      </c>
      <c r="GE9" s="1060"/>
      <c r="GF9" s="1059">
        <f t="shared" si="20"/>
        <v>26078</v>
      </c>
      <c r="GH9" s="1058" t="s">
        <v>922</v>
      </c>
      <c r="GI9" s="1085"/>
      <c r="GJ9" s="1061"/>
      <c r="GK9" s="1060">
        <v>18520</v>
      </c>
      <c r="GL9" s="1061">
        <v>7190</v>
      </c>
      <c r="GM9" s="1060">
        <v>368</v>
      </c>
      <c r="GN9" s="1060"/>
      <c r="GO9" s="1059">
        <f t="shared" si="21"/>
        <v>26078</v>
      </c>
      <c r="GQ9" s="1058" t="s">
        <v>922</v>
      </c>
      <c r="GR9" s="1085"/>
      <c r="GS9" s="1061"/>
      <c r="GT9" s="1060">
        <v>18520</v>
      </c>
      <c r="GU9" s="1061">
        <v>7190</v>
      </c>
      <c r="GV9" s="1060">
        <v>368</v>
      </c>
      <c r="GW9" s="1060"/>
      <c r="GX9" s="1059">
        <f t="shared" si="22"/>
        <v>26078</v>
      </c>
      <c r="GZ9" s="1058" t="s">
        <v>921</v>
      </c>
      <c r="HA9" s="1085"/>
      <c r="HB9" s="1061"/>
      <c r="HC9" s="1060">
        <v>15141</v>
      </c>
      <c r="HD9" s="1060">
        <v>10120</v>
      </c>
      <c r="HE9" s="1060">
        <v>1610</v>
      </c>
      <c r="HF9" s="1060"/>
      <c r="HG9" s="1059">
        <f t="shared" si="23"/>
        <v>26871</v>
      </c>
      <c r="HI9" s="1058" t="s">
        <v>921</v>
      </c>
      <c r="HJ9" s="1085"/>
      <c r="HK9" s="1061"/>
      <c r="HL9" s="1060">
        <v>19441</v>
      </c>
      <c r="HM9" s="1060">
        <v>10120</v>
      </c>
      <c r="HN9" s="1060">
        <v>1610</v>
      </c>
      <c r="HO9" s="1060"/>
      <c r="HP9" s="1059">
        <f t="shared" si="24"/>
        <v>31171</v>
      </c>
      <c r="HR9" s="1058" t="s">
        <v>921</v>
      </c>
      <c r="HS9" s="1085"/>
      <c r="HT9" s="1061"/>
      <c r="HU9" s="1060">
        <v>19441</v>
      </c>
      <c r="HV9" s="1060">
        <v>10120</v>
      </c>
      <c r="HW9" s="1060">
        <v>1610</v>
      </c>
      <c r="HX9" s="1060"/>
      <c r="HY9" s="1059">
        <f t="shared" si="25"/>
        <v>31171</v>
      </c>
      <c r="IA9" s="1058" t="s">
        <v>921</v>
      </c>
      <c r="IB9" s="1085"/>
      <c r="IC9" s="1061"/>
      <c r="ID9" s="1060">
        <v>19441</v>
      </c>
      <c r="IE9" s="1060">
        <v>10120</v>
      </c>
      <c r="IF9" s="1060">
        <v>1610</v>
      </c>
      <c r="IG9" s="1060"/>
      <c r="IH9" s="1059">
        <f t="shared" si="26"/>
        <v>31171</v>
      </c>
      <c r="IJ9" s="1058" t="s">
        <v>920</v>
      </c>
      <c r="IK9" s="1085"/>
      <c r="IL9" s="1061"/>
      <c r="IM9" s="1060">
        <v>14890</v>
      </c>
      <c r="IN9" s="1060">
        <f>9700+1054</f>
        <v>10754</v>
      </c>
      <c r="IO9" s="1060">
        <v>1826</v>
      </c>
      <c r="IP9" s="1060"/>
      <c r="IQ9" s="1059">
        <f t="shared" si="27"/>
        <v>27470</v>
      </c>
    </row>
    <row r="10" spans="2:251" ht="15.5" hidden="1" x14ac:dyDescent="0.35">
      <c r="B10" s="1161">
        <v>2013</v>
      </c>
      <c r="C10" s="1160"/>
      <c r="D10" s="1161"/>
      <c r="E10" s="1165">
        <v>6512</v>
      </c>
      <c r="F10" s="1165">
        <v>3722</v>
      </c>
      <c r="G10" s="1165">
        <f>4468-F10</f>
        <v>746</v>
      </c>
      <c r="H10" s="1165"/>
      <c r="I10" s="1167">
        <f t="shared" si="0"/>
        <v>10980</v>
      </c>
      <c r="J10" s="1162"/>
      <c r="K10" s="1161">
        <v>2014</v>
      </c>
      <c r="L10" s="1160"/>
      <c r="M10" s="1161"/>
      <c r="N10" s="1165">
        <v>2747</v>
      </c>
      <c r="O10" s="1166">
        <v>7770</v>
      </c>
      <c r="P10" s="1166">
        <f>10310-O10</f>
        <v>2540</v>
      </c>
      <c r="Q10" s="1166"/>
      <c r="R10" s="1167">
        <f t="shared" si="1"/>
        <v>13057</v>
      </c>
      <c r="T10" s="1161">
        <v>2014</v>
      </c>
      <c r="U10" s="1160"/>
      <c r="V10" s="1161"/>
      <c r="W10" s="1165">
        <v>3607</v>
      </c>
      <c r="X10" s="1166">
        <v>7770</v>
      </c>
      <c r="Y10" s="1166">
        <f>10310-X10</f>
        <v>2540</v>
      </c>
      <c r="Z10" s="1166"/>
      <c r="AA10" s="1167">
        <f t="shared" si="2"/>
        <v>13917</v>
      </c>
      <c r="AC10" s="1161">
        <v>2014</v>
      </c>
      <c r="AD10" s="1160"/>
      <c r="AE10" s="1161"/>
      <c r="AF10" s="1165">
        <v>4780</v>
      </c>
      <c r="AG10" s="1166">
        <v>7770</v>
      </c>
      <c r="AH10" s="1166">
        <f>10310-AG10</f>
        <v>2540</v>
      </c>
      <c r="AI10" s="1166"/>
      <c r="AJ10" s="1167">
        <f t="shared" si="3"/>
        <v>15090</v>
      </c>
      <c r="AL10" s="1161">
        <v>2014</v>
      </c>
      <c r="AM10" s="1160"/>
      <c r="AN10" s="1161"/>
      <c r="AO10" s="1165">
        <v>5990</v>
      </c>
      <c r="AP10" s="1166">
        <v>7770</v>
      </c>
      <c r="AQ10" s="1166">
        <f>10310-AP10</f>
        <v>2540</v>
      </c>
      <c r="AR10" s="1166"/>
      <c r="AS10" s="1167">
        <f t="shared" si="4"/>
        <v>16300</v>
      </c>
      <c r="AU10" s="1161">
        <v>2015</v>
      </c>
      <c r="AV10" s="1160"/>
      <c r="AW10" s="1161"/>
      <c r="AX10" s="1173">
        <v>5832</v>
      </c>
      <c r="AY10" s="1161">
        <v>6257</v>
      </c>
      <c r="AZ10" s="1165">
        <f>9348-AY10</f>
        <v>3091</v>
      </c>
      <c r="BA10" s="1165"/>
      <c r="BB10" s="1167">
        <f t="shared" si="5"/>
        <v>15180</v>
      </c>
      <c r="BD10" s="1161">
        <v>2015</v>
      </c>
      <c r="BE10" s="1168"/>
      <c r="BF10" s="1169"/>
      <c r="BG10" s="1174">
        <v>7232</v>
      </c>
      <c r="BH10" s="1169">
        <v>6257</v>
      </c>
      <c r="BI10" s="1168">
        <f>9348-BH10</f>
        <v>3091</v>
      </c>
      <c r="BJ10" s="1168"/>
      <c r="BK10" s="1170">
        <f t="shared" si="6"/>
        <v>16580</v>
      </c>
      <c r="BL10" s="1058">
        <v>2015</v>
      </c>
      <c r="BM10" s="1085"/>
      <c r="BN10" s="1086"/>
      <c r="BO10" s="1172">
        <v>10357</v>
      </c>
      <c r="BP10" s="1086">
        <v>6257</v>
      </c>
      <c r="BQ10" s="1085">
        <f>9348-BP10</f>
        <v>3091</v>
      </c>
      <c r="BR10" s="1085"/>
      <c r="BS10" s="1171">
        <f t="shared" si="7"/>
        <v>19705</v>
      </c>
      <c r="BU10" s="1058">
        <v>2015</v>
      </c>
      <c r="BV10" s="1085"/>
      <c r="BW10" s="1086"/>
      <c r="BX10" s="1172">
        <v>12057</v>
      </c>
      <c r="BY10" s="1086">
        <v>6257</v>
      </c>
      <c r="BZ10" s="1085">
        <f>9348-BY10</f>
        <v>3091</v>
      </c>
      <c r="CA10" s="1085"/>
      <c r="CB10" s="1171">
        <f t="shared" si="8"/>
        <v>21405</v>
      </c>
      <c r="CD10" s="1058">
        <v>2016</v>
      </c>
      <c r="CE10" s="1085"/>
      <c r="CF10" s="1086"/>
      <c r="CG10" s="1085"/>
      <c r="CH10" s="1086">
        <v>4722</v>
      </c>
      <c r="CI10" s="1085">
        <f>3933-151</f>
        <v>3782</v>
      </c>
      <c r="CJ10" s="1085">
        <v>151</v>
      </c>
      <c r="CK10" s="1171">
        <f t="shared" si="9"/>
        <v>8655</v>
      </c>
      <c r="CM10" s="1058">
        <v>2016</v>
      </c>
      <c r="CN10" s="1085"/>
      <c r="CO10" s="1061"/>
      <c r="CP10" s="1060">
        <v>4300</v>
      </c>
      <c r="CQ10" s="1061">
        <v>4722</v>
      </c>
      <c r="CR10" s="1060">
        <f>3933-151</f>
        <v>3782</v>
      </c>
      <c r="CS10" s="1060">
        <v>151</v>
      </c>
      <c r="CT10" s="1059">
        <f t="shared" si="10"/>
        <v>12955</v>
      </c>
      <c r="CV10" s="1058">
        <v>2016</v>
      </c>
      <c r="CW10" s="1085"/>
      <c r="CX10" s="1061"/>
      <c r="CY10" s="1060">
        <v>7790</v>
      </c>
      <c r="CZ10" s="1061">
        <v>4722</v>
      </c>
      <c r="DA10" s="1060">
        <f>3933-151</f>
        <v>3782</v>
      </c>
      <c r="DB10" s="1060">
        <v>151</v>
      </c>
      <c r="DC10" s="1059">
        <f t="shared" si="11"/>
        <v>16445</v>
      </c>
      <c r="DE10" s="1058">
        <v>2016</v>
      </c>
      <c r="DF10" s="1085"/>
      <c r="DG10" s="1061"/>
      <c r="DH10" s="1060">
        <v>11565</v>
      </c>
      <c r="DI10" s="1061">
        <v>4722</v>
      </c>
      <c r="DJ10" s="1060">
        <f>3933-151</f>
        <v>3782</v>
      </c>
      <c r="DK10" s="1060">
        <v>151</v>
      </c>
      <c r="DL10" s="1059">
        <f t="shared" si="12"/>
        <v>20220</v>
      </c>
      <c r="DN10" s="1058">
        <v>2017</v>
      </c>
      <c r="DO10" s="1085"/>
      <c r="DP10" s="1061"/>
      <c r="DQ10" s="1060"/>
      <c r="DR10" s="1061">
        <v>7187</v>
      </c>
      <c r="DS10" s="1060">
        <v>31</v>
      </c>
      <c r="DT10" s="1060"/>
      <c r="DU10" s="1059">
        <f t="shared" si="13"/>
        <v>7218</v>
      </c>
      <c r="DW10" s="1058">
        <v>2017</v>
      </c>
      <c r="DX10" s="1085"/>
      <c r="DY10" s="1061"/>
      <c r="DZ10" s="1060">
        <v>5325</v>
      </c>
      <c r="EA10" s="1061">
        <v>7187</v>
      </c>
      <c r="EB10" s="1060">
        <v>31</v>
      </c>
      <c r="EC10" s="1060"/>
      <c r="ED10" s="1059">
        <f t="shared" si="14"/>
        <v>12543</v>
      </c>
      <c r="EF10" s="1058">
        <v>2017</v>
      </c>
      <c r="EG10" s="1085"/>
      <c r="EH10" s="1061"/>
      <c r="EI10" s="1060">
        <v>10925</v>
      </c>
      <c r="EJ10" s="1061">
        <v>7187</v>
      </c>
      <c r="EK10" s="1060">
        <v>31</v>
      </c>
      <c r="EL10" s="1060"/>
      <c r="EM10" s="1059">
        <f t="shared" si="15"/>
        <v>18143</v>
      </c>
      <c r="EO10" s="1058">
        <v>2017</v>
      </c>
      <c r="EP10" s="1085"/>
      <c r="EQ10" s="1061"/>
      <c r="ER10" s="1060">
        <v>15375</v>
      </c>
      <c r="ES10" s="1061">
        <v>7187</v>
      </c>
      <c r="ET10" s="1060">
        <v>31</v>
      </c>
      <c r="EU10" s="1060"/>
      <c r="EV10" s="1059">
        <f t="shared" si="16"/>
        <v>22593</v>
      </c>
      <c r="EX10" s="1058" t="s">
        <v>922</v>
      </c>
      <c r="EY10" s="1085"/>
      <c r="EZ10" s="1061"/>
      <c r="FA10" s="1060">
        <v>8520</v>
      </c>
      <c r="FB10" s="1061">
        <v>7190</v>
      </c>
      <c r="FC10" s="1060">
        <v>368</v>
      </c>
      <c r="FD10" s="1060"/>
      <c r="FE10" s="1059">
        <f t="shared" si="17"/>
        <v>16078</v>
      </c>
      <c r="FG10" s="1058" t="s">
        <v>922</v>
      </c>
      <c r="FH10" s="1085"/>
      <c r="FI10" s="1061"/>
      <c r="FJ10" s="1060">
        <v>12820</v>
      </c>
      <c r="FK10" s="1061">
        <v>7190</v>
      </c>
      <c r="FL10" s="1060">
        <v>368</v>
      </c>
      <c r="FM10" s="1060"/>
      <c r="FN10" s="1059">
        <f t="shared" si="18"/>
        <v>20378</v>
      </c>
      <c r="FP10" s="1058" t="s">
        <v>921</v>
      </c>
      <c r="FQ10" s="1085"/>
      <c r="FR10" s="1061"/>
      <c r="FS10" s="1060"/>
      <c r="FT10" s="1060">
        <v>10120</v>
      </c>
      <c r="FU10" s="1060">
        <v>1610</v>
      </c>
      <c r="FV10" s="1060"/>
      <c r="FW10" s="1059">
        <f t="shared" si="19"/>
        <v>11730</v>
      </c>
      <c r="FY10" s="1058" t="s">
        <v>921</v>
      </c>
      <c r="FZ10" s="1085"/>
      <c r="GA10" s="1061"/>
      <c r="GB10" s="1060">
        <v>3000</v>
      </c>
      <c r="GC10" s="1060">
        <v>10120</v>
      </c>
      <c r="GD10" s="1060">
        <v>1610</v>
      </c>
      <c r="GE10" s="1060"/>
      <c r="GF10" s="1059">
        <f t="shared" si="20"/>
        <v>14730</v>
      </c>
      <c r="GH10" s="1058" t="s">
        <v>921</v>
      </c>
      <c r="GI10" s="1085"/>
      <c r="GJ10" s="1061"/>
      <c r="GK10" s="1060">
        <v>7056</v>
      </c>
      <c r="GL10" s="1060">
        <v>10120</v>
      </c>
      <c r="GM10" s="1060">
        <v>1610</v>
      </c>
      <c r="GN10" s="1060"/>
      <c r="GO10" s="1059">
        <f t="shared" si="21"/>
        <v>18786</v>
      </c>
      <c r="GQ10" s="1058" t="s">
        <v>921</v>
      </c>
      <c r="GR10" s="1085"/>
      <c r="GS10" s="1061"/>
      <c r="GT10" s="1060">
        <v>11156</v>
      </c>
      <c r="GU10" s="1060">
        <v>10120</v>
      </c>
      <c r="GV10" s="1060">
        <v>1610</v>
      </c>
      <c r="GW10" s="1060"/>
      <c r="GX10" s="1059">
        <f t="shared" si="22"/>
        <v>22886</v>
      </c>
      <c r="GZ10" s="1058" t="s">
        <v>920</v>
      </c>
      <c r="HA10" s="1085"/>
      <c r="HB10" s="1061"/>
      <c r="HC10" s="1060"/>
      <c r="HD10" s="1060">
        <f>9700+1054</f>
        <v>10754</v>
      </c>
      <c r="HE10" s="1060">
        <v>1826</v>
      </c>
      <c r="HF10" s="1060"/>
      <c r="HG10" s="1059">
        <f t="shared" si="23"/>
        <v>12580</v>
      </c>
      <c r="HI10" s="1058" t="s">
        <v>920</v>
      </c>
      <c r="HJ10" s="1085"/>
      <c r="HK10" s="1061"/>
      <c r="HL10" s="1060"/>
      <c r="HM10" s="1060">
        <f>9700+1054</f>
        <v>10754</v>
      </c>
      <c r="HN10" s="1060">
        <v>1826</v>
      </c>
      <c r="HO10" s="1060"/>
      <c r="HP10" s="1059">
        <f t="shared" si="24"/>
        <v>12580</v>
      </c>
      <c r="HR10" s="1058" t="s">
        <v>920</v>
      </c>
      <c r="HS10" s="1085"/>
      <c r="HT10" s="1061"/>
      <c r="HU10" s="1060">
        <v>3890</v>
      </c>
      <c r="HV10" s="1060">
        <f>9700+1054</f>
        <v>10754</v>
      </c>
      <c r="HW10" s="1060">
        <v>1826</v>
      </c>
      <c r="HX10" s="1060"/>
      <c r="HY10" s="1059">
        <f t="shared" si="25"/>
        <v>16470</v>
      </c>
      <c r="IA10" s="1058" t="s">
        <v>920</v>
      </c>
      <c r="IB10" s="1085"/>
      <c r="IC10" s="1061"/>
      <c r="ID10" s="1060">
        <v>9290</v>
      </c>
      <c r="IE10" s="1060">
        <f>9700+1054</f>
        <v>10754</v>
      </c>
      <c r="IF10" s="1060">
        <v>1826</v>
      </c>
      <c r="IG10" s="1060"/>
      <c r="IH10" s="1059">
        <f t="shared" si="26"/>
        <v>21870</v>
      </c>
      <c r="IJ10" s="1058" t="s">
        <v>863</v>
      </c>
      <c r="IK10" s="1085"/>
      <c r="IL10" s="1061"/>
      <c r="IM10" s="1060"/>
      <c r="IN10" s="1060">
        <v>9300</v>
      </c>
      <c r="IO10" s="1093">
        <v>4349</v>
      </c>
      <c r="IP10" s="1093"/>
      <c r="IQ10" s="1059">
        <f t="shared" si="27"/>
        <v>13649</v>
      </c>
    </row>
    <row r="11" spans="2:251" ht="15.5" hidden="1" x14ac:dyDescent="0.35">
      <c r="B11" s="1161">
        <v>2014</v>
      </c>
      <c r="C11" s="1160"/>
      <c r="D11" s="1161"/>
      <c r="E11" s="1165">
        <v>2324</v>
      </c>
      <c r="F11" s="1165">
        <v>7770</v>
      </c>
      <c r="G11" s="1165">
        <f>10310-F11</f>
        <v>2540</v>
      </c>
      <c r="H11" s="1165"/>
      <c r="I11" s="1167">
        <f t="shared" si="0"/>
        <v>12634</v>
      </c>
      <c r="J11" s="1162"/>
      <c r="K11" s="1161">
        <v>2015</v>
      </c>
      <c r="L11" s="1160"/>
      <c r="M11" s="1161"/>
      <c r="O11" s="1166">
        <v>3257</v>
      </c>
      <c r="P11" s="1165">
        <f>6348-O11</f>
        <v>3091</v>
      </c>
      <c r="Q11" s="1165"/>
      <c r="R11" s="1167">
        <f t="shared" si="1"/>
        <v>6348</v>
      </c>
      <c r="T11" s="1161">
        <v>2015</v>
      </c>
      <c r="U11" s="1160"/>
      <c r="V11" s="1161"/>
      <c r="W11" s="1173">
        <v>1132</v>
      </c>
      <c r="X11" s="1166">
        <v>4757</v>
      </c>
      <c r="Y11" s="1165">
        <f>7848-X11</f>
        <v>3091</v>
      </c>
      <c r="Z11" s="1165"/>
      <c r="AA11" s="1167">
        <f t="shared" si="2"/>
        <v>8980</v>
      </c>
      <c r="AC11" s="1161">
        <v>2015</v>
      </c>
      <c r="AD11" s="1160"/>
      <c r="AE11" s="1161"/>
      <c r="AF11" s="1175">
        <v>2472</v>
      </c>
      <c r="AG11" s="1161">
        <v>6257</v>
      </c>
      <c r="AH11" s="1165">
        <f>9348-AG11</f>
        <v>3091</v>
      </c>
      <c r="AI11" s="1165"/>
      <c r="AJ11" s="1167">
        <f t="shared" si="3"/>
        <v>11820</v>
      </c>
      <c r="AL11" s="1161">
        <v>2015</v>
      </c>
      <c r="AM11" s="1160"/>
      <c r="AN11" s="1161"/>
      <c r="AO11" s="1175">
        <v>3622</v>
      </c>
      <c r="AP11" s="1161">
        <v>6257</v>
      </c>
      <c r="AQ11" s="1165">
        <f>9348-AP11</f>
        <v>3091</v>
      </c>
      <c r="AR11" s="1165"/>
      <c r="AS11" s="1167">
        <f t="shared" si="4"/>
        <v>12970</v>
      </c>
      <c r="AU11" s="1161">
        <v>2016</v>
      </c>
      <c r="AV11" s="1160"/>
      <c r="AW11" s="1161"/>
      <c r="AX11" s="1160"/>
      <c r="AY11" s="1161">
        <v>2703</v>
      </c>
      <c r="AZ11" s="1165">
        <f>3933-151</f>
        <v>3782</v>
      </c>
      <c r="BA11" s="1165">
        <v>151</v>
      </c>
      <c r="BB11" s="1167">
        <f t="shared" si="5"/>
        <v>6636</v>
      </c>
      <c r="BD11" s="1161">
        <v>2016</v>
      </c>
      <c r="BE11" s="1168"/>
      <c r="BF11" s="1169"/>
      <c r="BG11" s="1168"/>
      <c r="BH11" s="1169">
        <v>4722</v>
      </c>
      <c r="BI11" s="1168">
        <f>3933-151</f>
        <v>3782</v>
      </c>
      <c r="BJ11" s="1168">
        <v>151</v>
      </c>
      <c r="BK11" s="1170">
        <f t="shared" si="6"/>
        <v>8655</v>
      </c>
      <c r="BL11" s="1058">
        <v>2016</v>
      </c>
      <c r="BM11" s="1085"/>
      <c r="BN11" s="1086"/>
      <c r="BO11" s="1085"/>
      <c r="BP11" s="1086">
        <v>4722</v>
      </c>
      <c r="BQ11" s="1085">
        <f>3933-151</f>
        <v>3782</v>
      </c>
      <c r="BR11" s="1085">
        <v>151</v>
      </c>
      <c r="BS11" s="1171">
        <f t="shared" si="7"/>
        <v>8655</v>
      </c>
      <c r="BU11" s="1058">
        <v>2016</v>
      </c>
      <c r="BV11" s="1085"/>
      <c r="BW11" s="1086"/>
      <c r="BX11" s="1085"/>
      <c r="BY11" s="1086">
        <v>4722</v>
      </c>
      <c r="BZ11" s="1085">
        <f>3933-151</f>
        <v>3782</v>
      </c>
      <c r="CA11" s="1085">
        <v>151</v>
      </c>
      <c r="CB11" s="1171">
        <f t="shared" si="8"/>
        <v>8655</v>
      </c>
      <c r="CD11" s="1058">
        <v>2017</v>
      </c>
      <c r="CE11" s="1085"/>
      <c r="CF11" s="1086"/>
      <c r="CG11" s="1085"/>
      <c r="CH11" s="1086">
        <v>7188</v>
      </c>
      <c r="CI11" s="1085">
        <v>31</v>
      </c>
      <c r="CJ11" s="1085"/>
      <c r="CK11" s="1171">
        <f t="shared" si="9"/>
        <v>7219</v>
      </c>
      <c r="CM11" s="1058">
        <v>2017</v>
      </c>
      <c r="CN11" s="1085"/>
      <c r="CO11" s="1061"/>
      <c r="CP11" s="1060"/>
      <c r="CQ11" s="1061">
        <v>7187</v>
      </c>
      <c r="CR11" s="1060">
        <v>31</v>
      </c>
      <c r="CS11" s="1060"/>
      <c r="CT11" s="1059">
        <f t="shared" si="10"/>
        <v>7218</v>
      </c>
      <c r="CV11" s="1058">
        <v>2017</v>
      </c>
      <c r="CW11" s="1085"/>
      <c r="CX11" s="1061"/>
      <c r="CY11" s="1060"/>
      <c r="CZ11" s="1061">
        <v>7187</v>
      </c>
      <c r="DA11" s="1060">
        <v>31</v>
      </c>
      <c r="DB11" s="1060"/>
      <c r="DC11" s="1059">
        <f t="shared" si="11"/>
        <v>7218</v>
      </c>
      <c r="DE11" s="1058">
        <v>2017</v>
      </c>
      <c r="DF11" s="1085"/>
      <c r="DG11" s="1061"/>
      <c r="DH11" s="1060"/>
      <c r="DI11" s="1061">
        <v>7187</v>
      </c>
      <c r="DJ11" s="1060">
        <v>31</v>
      </c>
      <c r="DK11" s="1060"/>
      <c r="DL11" s="1059">
        <f t="shared" si="12"/>
        <v>7218</v>
      </c>
      <c r="DN11" s="1058">
        <v>2018</v>
      </c>
      <c r="DO11" s="1085"/>
      <c r="DP11" s="1061"/>
      <c r="DQ11" s="1060"/>
      <c r="DR11" s="1061">
        <v>7225</v>
      </c>
      <c r="DS11" s="1060">
        <v>1573</v>
      </c>
      <c r="DT11" s="1060"/>
      <c r="DU11" s="1059">
        <f t="shared" si="13"/>
        <v>8798</v>
      </c>
      <c r="DW11" s="1058">
        <v>2018</v>
      </c>
      <c r="DX11" s="1085"/>
      <c r="DY11" s="1061"/>
      <c r="DZ11" s="1060"/>
      <c r="EA11" s="1061">
        <v>8825</v>
      </c>
      <c r="EB11" s="1060">
        <v>1573</v>
      </c>
      <c r="EC11" s="1060"/>
      <c r="ED11" s="1059">
        <f t="shared" si="14"/>
        <v>10398</v>
      </c>
      <c r="EF11" s="1058">
        <v>2018</v>
      </c>
      <c r="EG11" s="1085"/>
      <c r="EH11" s="1061"/>
      <c r="EI11" s="1060"/>
      <c r="EJ11" s="1061">
        <v>8825</v>
      </c>
      <c r="EK11" s="1060">
        <v>1573</v>
      </c>
      <c r="EL11" s="1060"/>
      <c r="EM11" s="1059">
        <f t="shared" si="15"/>
        <v>10398</v>
      </c>
      <c r="EO11" s="1058">
        <v>2018</v>
      </c>
      <c r="EP11" s="1085"/>
      <c r="EQ11" s="1061"/>
      <c r="ER11" s="1060"/>
      <c r="ES11" s="1061">
        <v>8825</v>
      </c>
      <c r="ET11" s="1060">
        <v>1573</v>
      </c>
      <c r="EU11" s="1060"/>
      <c r="EV11" s="1059">
        <f t="shared" si="16"/>
        <v>10398</v>
      </c>
      <c r="EX11" s="1058" t="s">
        <v>921</v>
      </c>
      <c r="EY11" s="1085"/>
      <c r="EZ11" s="1061"/>
      <c r="FA11" s="1060"/>
      <c r="FB11" s="1060">
        <v>10120</v>
      </c>
      <c r="FC11" s="1060">
        <v>1610</v>
      </c>
      <c r="FD11" s="1060"/>
      <c r="FE11" s="1059">
        <f t="shared" si="17"/>
        <v>11730</v>
      </c>
      <c r="FG11" s="1058" t="s">
        <v>921</v>
      </c>
      <c r="FH11" s="1085"/>
      <c r="FI11" s="1061"/>
      <c r="FJ11" s="1060"/>
      <c r="FK11" s="1060">
        <v>10120</v>
      </c>
      <c r="FL11" s="1060">
        <v>1610</v>
      </c>
      <c r="FM11" s="1060"/>
      <c r="FN11" s="1059">
        <f t="shared" si="18"/>
        <v>11730</v>
      </c>
      <c r="FP11" s="1058" t="s">
        <v>920</v>
      </c>
      <c r="FQ11" s="1085"/>
      <c r="FR11" s="1061"/>
      <c r="FS11" s="1060"/>
      <c r="FT11" s="1060">
        <v>8400</v>
      </c>
      <c r="FU11" s="1060">
        <v>1826</v>
      </c>
      <c r="FV11" s="1060"/>
      <c r="FW11" s="1059">
        <f t="shared" si="19"/>
        <v>10226</v>
      </c>
      <c r="FY11" s="1058" t="s">
        <v>920</v>
      </c>
      <c r="FZ11" s="1085"/>
      <c r="GA11" s="1061"/>
      <c r="GB11" s="1060"/>
      <c r="GC11" s="1060">
        <v>9700</v>
      </c>
      <c r="GD11" s="1060">
        <v>1826</v>
      </c>
      <c r="GE11" s="1060"/>
      <c r="GF11" s="1059">
        <f t="shared" si="20"/>
        <v>11526</v>
      </c>
      <c r="GH11" s="1058" t="s">
        <v>920</v>
      </c>
      <c r="GI11" s="1085"/>
      <c r="GJ11" s="1061"/>
      <c r="GK11" s="1060"/>
      <c r="GL11" s="1060">
        <f>9700+1054</f>
        <v>10754</v>
      </c>
      <c r="GM11" s="1060">
        <v>1826</v>
      </c>
      <c r="GN11" s="1060"/>
      <c r="GO11" s="1059">
        <f t="shared" si="21"/>
        <v>12580</v>
      </c>
      <c r="GQ11" s="1058" t="s">
        <v>920</v>
      </c>
      <c r="GR11" s="1085"/>
      <c r="GS11" s="1061"/>
      <c r="GT11" s="1060"/>
      <c r="GU11" s="1060">
        <f>9700+1054</f>
        <v>10754</v>
      </c>
      <c r="GV11" s="1060">
        <v>1826</v>
      </c>
      <c r="GW11" s="1060"/>
      <c r="GX11" s="1059">
        <f t="shared" si="22"/>
        <v>12580</v>
      </c>
      <c r="GZ11" s="1058" t="s">
        <v>863</v>
      </c>
      <c r="HA11" s="1085"/>
      <c r="HB11" s="1061"/>
      <c r="HC11" s="1060"/>
      <c r="HD11" s="1060">
        <v>5700</v>
      </c>
      <c r="HE11" s="1093">
        <v>4349</v>
      </c>
      <c r="HF11" s="1093"/>
      <c r="HG11" s="1059">
        <f t="shared" si="23"/>
        <v>10049</v>
      </c>
      <c r="HI11" s="1058" t="s">
        <v>863</v>
      </c>
      <c r="HJ11" s="1085"/>
      <c r="HK11" s="1061"/>
      <c r="HL11" s="1060"/>
      <c r="HM11" s="1060">
        <v>9300</v>
      </c>
      <c r="HN11" s="1093">
        <v>4349</v>
      </c>
      <c r="HO11" s="1093"/>
      <c r="HP11" s="1059">
        <f t="shared" si="24"/>
        <v>13649</v>
      </c>
      <c r="HR11" s="1058" t="s">
        <v>863</v>
      </c>
      <c r="HS11" s="1085"/>
      <c r="HT11" s="1061"/>
      <c r="HU11" s="1060"/>
      <c r="HV11" s="1060">
        <v>9300</v>
      </c>
      <c r="HW11" s="1093">
        <v>4349</v>
      </c>
      <c r="HX11" s="1093"/>
      <c r="HY11" s="1059">
        <f t="shared" si="25"/>
        <v>13649</v>
      </c>
      <c r="IA11" s="1058" t="s">
        <v>863</v>
      </c>
      <c r="IB11" s="1085"/>
      <c r="IC11" s="1061"/>
      <c r="ID11" s="1060"/>
      <c r="IE11" s="1060">
        <v>9300</v>
      </c>
      <c r="IF11" s="1093">
        <v>4349</v>
      </c>
      <c r="IG11" s="1093"/>
      <c r="IH11" s="1059">
        <f t="shared" si="26"/>
        <v>13649</v>
      </c>
      <c r="IJ11" s="1058" t="s">
        <v>862</v>
      </c>
      <c r="IK11" s="1085"/>
      <c r="IL11" s="1061"/>
      <c r="IM11" s="1060"/>
      <c r="IN11" s="1060">
        <v>11200</v>
      </c>
      <c r="IO11" s="1060">
        <v>4931</v>
      </c>
      <c r="IP11" s="1060"/>
      <c r="IQ11" s="1059">
        <f t="shared" si="27"/>
        <v>16131</v>
      </c>
    </row>
    <row r="12" spans="2:251" ht="15.5" hidden="1" x14ac:dyDescent="0.35">
      <c r="B12" s="1161">
        <v>2015</v>
      </c>
      <c r="C12" s="1160"/>
      <c r="D12" s="1161"/>
      <c r="E12" s="1165"/>
      <c r="F12" s="1165">
        <v>3000</v>
      </c>
      <c r="G12" s="1165">
        <f>6091-F12</f>
        <v>3091</v>
      </c>
      <c r="H12" s="1165"/>
      <c r="I12" s="1167">
        <f t="shared" si="0"/>
        <v>6091</v>
      </c>
      <c r="J12" s="1162"/>
      <c r="K12" s="1161">
        <v>2016</v>
      </c>
      <c r="L12" s="1160"/>
      <c r="M12" s="1161"/>
      <c r="N12" s="1160"/>
      <c r="O12" s="1161"/>
      <c r="P12" s="1165">
        <f>3933-151</f>
        <v>3782</v>
      </c>
      <c r="Q12" s="1165">
        <v>151</v>
      </c>
      <c r="R12" s="1167">
        <f t="shared" si="1"/>
        <v>3933</v>
      </c>
      <c r="T12" s="1161">
        <v>2016</v>
      </c>
      <c r="U12" s="1160"/>
      <c r="V12" s="1161"/>
      <c r="W12" s="1160"/>
      <c r="X12" s="1161"/>
      <c r="Y12" s="1165">
        <f>3933-151</f>
        <v>3782</v>
      </c>
      <c r="Z12" s="1165">
        <v>151</v>
      </c>
      <c r="AA12" s="1167">
        <f t="shared" si="2"/>
        <v>3933</v>
      </c>
      <c r="AC12" s="1161">
        <v>2016</v>
      </c>
      <c r="AD12" s="1160"/>
      <c r="AE12" s="1161"/>
      <c r="AF12" s="1160"/>
      <c r="AG12" s="1161"/>
      <c r="AH12" s="1165">
        <f>3933-151</f>
        <v>3782</v>
      </c>
      <c r="AI12" s="1165">
        <v>151</v>
      </c>
      <c r="AJ12" s="1167">
        <f t="shared" si="3"/>
        <v>3933</v>
      </c>
      <c r="AL12" s="1161">
        <v>2016</v>
      </c>
      <c r="AM12" s="1160"/>
      <c r="AN12" s="1161"/>
      <c r="AO12" s="1160"/>
      <c r="AP12" s="1161">
        <v>903</v>
      </c>
      <c r="AQ12" s="1165">
        <f>3933-151</f>
        <v>3782</v>
      </c>
      <c r="AR12" s="1165">
        <v>151</v>
      </c>
      <c r="AS12" s="1167">
        <f t="shared" si="4"/>
        <v>4836</v>
      </c>
      <c r="AU12" s="1161">
        <v>2017</v>
      </c>
      <c r="AV12" s="1160"/>
      <c r="AW12" s="1161"/>
      <c r="AX12" s="1160"/>
      <c r="AY12" s="1161"/>
      <c r="AZ12" s="1165">
        <v>31</v>
      </c>
      <c r="BA12" s="1165"/>
      <c r="BB12" s="1167">
        <f t="shared" si="5"/>
        <v>31</v>
      </c>
      <c r="BD12" s="1161">
        <v>2017</v>
      </c>
      <c r="BE12" s="1168"/>
      <c r="BF12" s="1169"/>
      <c r="BG12" s="1168"/>
      <c r="BH12" s="1169"/>
      <c r="BI12" s="1168">
        <v>31</v>
      </c>
      <c r="BJ12" s="1168"/>
      <c r="BK12" s="1170">
        <f t="shared" si="6"/>
        <v>31</v>
      </c>
      <c r="BL12" s="1058">
        <v>2017</v>
      </c>
      <c r="BM12" s="1085"/>
      <c r="BN12" s="1086"/>
      <c r="BO12" s="1085"/>
      <c r="BP12" s="1086">
        <v>3212</v>
      </c>
      <c r="BQ12" s="1085">
        <v>31</v>
      </c>
      <c r="BR12" s="1085"/>
      <c r="BS12" s="1171">
        <f t="shared" si="7"/>
        <v>3243</v>
      </c>
      <c r="BU12" s="1058">
        <v>2017</v>
      </c>
      <c r="BV12" s="1085"/>
      <c r="BW12" s="1086"/>
      <c r="BX12" s="1085"/>
      <c r="BY12" s="1086">
        <v>4823</v>
      </c>
      <c r="BZ12" s="1085">
        <v>31</v>
      </c>
      <c r="CA12" s="1085"/>
      <c r="CB12" s="1171">
        <f t="shared" si="8"/>
        <v>4854</v>
      </c>
      <c r="CD12" s="1058">
        <v>2018</v>
      </c>
      <c r="CE12" s="1085"/>
      <c r="CF12" s="1086"/>
      <c r="CG12" s="1085"/>
      <c r="CH12" s="1086"/>
      <c r="CI12" s="1085">
        <v>1573</v>
      </c>
      <c r="CJ12" s="1085"/>
      <c r="CK12" s="1171">
        <f t="shared" si="9"/>
        <v>1573</v>
      </c>
      <c r="CM12" s="1058">
        <v>2018</v>
      </c>
      <c r="CN12" s="1085"/>
      <c r="CO12" s="1061"/>
      <c r="CP12" s="1060"/>
      <c r="CQ12" s="1061">
        <v>1200</v>
      </c>
      <c r="CR12" s="1060">
        <v>1573</v>
      </c>
      <c r="CS12" s="1060"/>
      <c r="CT12" s="1059">
        <f t="shared" si="10"/>
        <v>2773</v>
      </c>
      <c r="CV12" s="1058">
        <v>2018</v>
      </c>
      <c r="CW12" s="1085"/>
      <c r="CX12" s="1061"/>
      <c r="CY12" s="1060"/>
      <c r="CZ12" s="1061">
        <v>3626</v>
      </c>
      <c r="DA12" s="1060">
        <v>1573</v>
      </c>
      <c r="DB12" s="1060"/>
      <c r="DC12" s="1059">
        <f t="shared" si="11"/>
        <v>5199</v>
      </c>
      <c r="DE12" s="1058">
        <v>2018</v>
      </c>
      <c r="DF12" s="1085"/>
      <c r="DG12" s="1061"/>
      <c r="DH12" s="1060"/>
      <c r="DI12" s="1061">
        <v>4825</v>
      </c>
      <c r="DJ12" s="1060">
        <v>1573</v>
      </c>
      <c r="DK12" s="1060"/>
      <c r="DL12" s="1059">
        <f t="shared" si="12"/>
        <v>6398</v>
      </c>
      <c r="DN12" s="1058">
        <v>2019</v>
      </c>
      <c r="DO12" s="1085"/>
      <c r="DP12" s="1061"/>
      <c r="DQ12" s="1060"/>
      <c r="DR12" s="1060"/>
      <c r="DS12" s="1060">
        <v>1433</v>
      </c>
      <c r="DT12" s="1060"/>
      <c r="DU12" s="1059">
        <f t="shared" si="13"/>
        <v>1433</v>
      </c>
      <c r="DW12" s="1058">
        <v>2019</v>
      </c>
      <c r="DX12" s="1085"/>
      <c r="DY12" s="1061"/>
      <c r="DZ12" s="1060"/>
      <c r="EA12" s="1060"/>
      <c r="EB12" s="1060">
        <v>1433</v>
      </c>
      <c r="EC12" s="1060"/>
      <c r="ED12" s="1059">
        <f t="shared" si="14"/>
        <v>1433</v>
      </c>
      <c r="EF12" s="1058">
        <v>2019</v>
      </c>
      <c r="EG12" s="1085"/>
      <c r="EH12" s="1061"/>
      <c r="EI12" s="1060"/>
      <c r="EJ12" s="1060">
        <v>4000</v>
      </c>
      <c r="EK12" s="1060">
        <v>1433</v>
      </c>
      <c r="EL12" s="1060"/>
      <c r="EM12" s="1059">
        <f t="shared" si="15"/>
        <v>5433</v>
      </c>
      <c r="EO12" s="1058">
        <v>2019</v>
      </c>
      <c r="EP12" s="1085"/>
      <c r="EQ12" s="1061"/>
      <c r="ER12" s="1060"/>
      <c r="ES12" s="1060">
        <v>5000</v>
      </c>
      <c r="ET12" s="1060">
        <v>1433</v>
      </c>
      <c r="EU12" s="1060"/>
      <c r="EV12" s="1059">
        <f t="shared" si="16"/>
        <v>6433</v>
      </c>
      <c r="EX12" s="1058" t="s">
        <v>920</v>
      </c>
      <c r="EY12" s="1085"/>
      <c r="EZ12" s="1061"/>
      <c r="FA12" s="1060"/>
      <c r="FB12" s="1060">
        <v>2900</v>
      </c>
      <c r="FC12" s="1060">
        <v>1826</v>
      </c>
      <c r="FD12" s="1060"/>
      <c r="FE12" s="1059">
        <f t="shared" si="17"/>
        <v>4726</v>
      </c>
      <c r="FG12" s="1058" t="s">
        <v>920</v>
      </c>
      <c r="FH12" s="1085"/>
      <c r="FI12" s="1061"/>
      <c r="FJ12" s="1060"/>
      <c r="FK12" s="1060">
        <v>4400</v>
      </c>
      <c r="FL12" s="1060">
        <v>1826</v>
      </c>
      <c r="FM12" s="1060"/>
      <c r="FN12" s="1059">
        <f t="shared" si="18"/>
        <v>6226</v>
      </c>
      <c r="FP12" s="1058" t="s">
        <v>863</v>
      </c>
      <c r="FQ12" s="1085"/>
      <c r="FR12" s="1061"/>
      <c r="FS12" s="1060"/>
      <c r="FT12" s="1060"/>
      <c r="FU12" s="1093">
        <v>4349</v>
      </c>
      <c r="FV12" s="1093"/>
      <c r="FW12" s="1059">
        <f t="shared" si="19"/>
        <v>4349</v>
      </c>
      <c r="FY12" s="1058" t="s">
        <v>863</v>
      </c>
      <c r="FZ12" s="1085"/>
      <c r="GA12" s="1061"/>
      <c r="GB12" s="1060"/>
      <c r="GC12" s="1060"/>
      <c r="GD12" s="1093">
        <v>4349</v>
      </c>
      <c r="GE12" s="1093"/>
      <c r="GF12" s="1059">
        <f t="shared" si="20"/>
        <v>4349</v>
      </c>
      <c r="GH12" s="1058" t="s">
        <v>863</v>
      </c>
      <c r="GI12" s="1085"/>
      <c r="GJ12" s="1061"/>
      <c r="GK12" s="1060"/>
      <c r="GL12" s="1060">
        <v>1400</v>
      </c>
      <c r="GM12" s="1093">
        <v>4349</v>
      </c>
      <c r="GN12" s="1093"/>
      <c r="GO12" s="1059">
        <f t="shared" si="21"/>
        <v>5749</v>
      </c>
      <c r="GQ12" s="1058" t="s">
        <v>863</v>
      </c>
      <c r="GR12" s="1085"/>
      <c r="GS12" s="1061"/>
      <c r="GT12" s="1060"/>
      <c r="GU12" s="1060">
        <v>2900</v>
      </c>
      <c r="GV12" s="1093">
        <v>4349</v>
      </c>
      <c r="GW12" s="1093"/>
      <c r="GX12" s="1059">
        <f t="shared" si="22"/>
        <v>7249</v>
      </c>
      <c r="GZ12" s="1058" t="s">
        <v>862</v>
      </c>
      <c r="HA12" s="1085"/>
      <c r="HB12" s="1061"/>
      <c r="HC12" s="1060"/>
      <c r="HD12" s="1060"/>
      <c r="HE12" s="1060">
        <v>4931</v>
      </c>
      <c r="HF12" s="1060"/>
      <c r="HG12" s="1059">
        <f t="shared" si="23"/>
        <v>4931</v>
      </c>
      <c r="HI12" s="1058" t="s">
        <v>862</v>
      </c>
      <c r="HJ12" s="1085"/>
      <c r="HK12" s="1061"/>
      <c r="HL12" s="1060"/>
      <c r="HM12" s="1060"/>
      <c r="HN12" s="1060">
        <v>4931</v>
      </c>
      <c r="HO12" s="1060"/>
      <c r="HP12" s="1059">
        <f t="shared" si="24"/>
        <v>4931</v>
      </c>
      <c r="HR12" s="1058" t="s">
        <v>862</v>
      </c>
      <c r="HS12" s="1085"/>
      <c r="HT12" s="1061"/>
      <c r="HU12" s="1060"/>
      <c r="HV12" s="1060">
        <v>3200</v>
      </c>
      <c r="HW12" s="1060">
        <v>4931</v>
      </c>
      <c r="HX12" s="1060"/>
      <c r="HY12" s="1059">
        <f t="shared" si="25"/>
        <v>8131</v>
      </c>
      <c r="IA12" s="1058" t="s">
        <v>862</v>
      </c>
      <c r="IB12" s="1085"/>
      <c r="IC12" s="1061"/>
      <c r="ID12" s="1060"/>
      <c r="IE12" s="1060">
        <v>7000</v>
      </c>
      <c r="IF12" s="1060">
        <v>4931</v>
      </c>
      <c r="IG12" s="1060"/>
      <c r="IH12" s="1059">
        <f t="shared" si="26"/>
        <v>11931</v>
      </c>
      <c r="IJ12" s="1058" t="s">
        <v>861</v>
      </c>
      <c r="IK12" s="1085"/>
      <c r="IL12" s="1061"/>
      <c r="IM12" s="1060"/>
      <c r="IN12" s="1060"/>
      <c r="IO12" s="1060">
        <v>2631</v>
      </c>
      <c r="IP12" s="1060"/>
      <c r="IQ12" s="1059">
        <f t="shared" si="27"/>
        <v>2631</v>
      </c>
    </row>
    <row r="13" spans="2:251" ht="15.5" hidden="1" x14ac:dyDescent="0.35">
      <c r="B13" s="1161">
        <v>2016</v>
      </c>
      <c r="C13" s="1160"/>
      <c r="D13" s="1161"/>
      <c r="E13" s="1160"/>
      <c r="F13" s="1160"/>
      <c r="G13" s="1165">
        <f>3933-151</f>
        <v>3782</v>
      </c>
      <c r="H13" s="1165">
        <v>151</v>
      </c>
      <c r="I13" s="1167">
        <f t="shared" si="0"/>
        <v>3933</v>
      </c>
      <c r="J13" s="1162"/>
      <c r="K13" s="1161">
        <v>2017</v>
      </c>
      <c r="L13" s="1160"/>
      <c r="M13" s="1161"/>
      <c r="N13" s="1160"/>
      <c r="O13" s="1161"/>
      <c r="P13" s="1165">
        <v>31</v>
      </c>
      <c r="Q13" s="1165"/>
      <c r="R13" s="1167">
        <f t="shared" si="1"/>
        <v>31</v>
      </c>
      <c r="T13" s="1161">
        <v>2017</v>
      </c>
      <c r="U13" s="1160"/>
      <c r="V13" s="1161"/>
      <c r="W13" s="1160"/>
      <c r="X13" s="1161"/>
      <c r="Y13" s="1165">
        <v>31</v>
      </c>
      <c r="Z13" s="1165"/>
      <c r="AA13" s="1167">
        <f t="shared" si="2"/>
        <v>31</v>
      </c>
      <c r="AC13" s="1161">
        <v>2017</v>
      </c>
      <c r="AD13" s="1160"/>
      <c r="AE13" s="1161"/>
      <c r="AF13" s="1160"/>
      <c r="AG13" s="1160"/>
      <c r="AH13" s="1165">
        <v>31</v>
      </c>
      <c r="AI13" s="1165"/>
      <c r="AJ13" s="1167">
        <f t="shared" si="3"/>
        <v>31</v>
      </c>
      <c r="AL13" s="1161">
        <v>2017</v>
      </c>
      <c r="AM13" s="1160"/>
      <c r="AN13" s="1161"/>
      <c r="AO13" s="1160"/>
      <c r="AP13" s="1161"/>
      <c r="AQ13" s="1165">
        <v>31</v>
      </c>
      <c r="AR13" s="1165"/>
      <c r="AS13" s="1167">
        <f t="shared" si="4"/>
        <v>31</v>
      </c>
      <c r="AU13" s="1161">
        <v>2018</v>
      </c>
      <c r="AV13" s="1160"/>
      <c r="AW13" s="1161"/>
      <c r="AX13" s="1160"/>
      <c r="AY13" s="1161"/>
      <c r="AZ13" s="1165">
        <v>1573</v>
      </c>
      <c r="BA13" s="1165"/>
      <c r="BB13" s="1167">
        <f t="shared" si="5"/>
        <v>1573</v>
      </c>
      <c r="BD13" s="1161">
        <v>2018</v>
      </c>
      <c r="BE13" s="1168"/>
      <c r="BF13" s="1169"/>
      <c r="BG13" s="1168"/>
      <c r="BH13" s="1169"/>
      <c r="BI13" s="1168">
        <v>1573</v>
      </c>
      <c r="BJ13" s="1168"/>
      <c r="BK13" s="1170">
        <f t="shared" si="6"/>
        <v>1573</v>
      </c>
      <c r="BL13" s="1058">
        <v>2018</v>
      </c>
      <c r="BM13" s="1085"/>
      <c r="BN13" s="1086"/>
      <c r="BO13" s="1085"/>
      <c r="BP13" s="1086"/>
      <c r="BQ13" s="1085">
        <v>1573</v>
      </c>
      <c r="BR13" s="1085"/>
      <c r="BS13" s="1171">
        <f t="shared" si="7"/>
        <v>1573</v>
      </c>
      <c r="BU13" s="1058">
        <v>2018</v>
      </c>
      <c r="BV13" s="1085"/>
      <c r="BW13" s="1086"/>
      <c r="BX13" s="1085"/>
      <c r="BY13" s="1086"/>
      <c r="BZ13" s="1085">
        <v>1573</v>
      </c>
      <c r="CA13" s="1085"/>
      <c r="CB13" s="1171">
        <f t="shared" si="8"/>
        <v>1573</v>
      </c>
      <c r="CD13" s="1058">
        <v>2019</v>
      </c>
      <c r="CE13" s="1085"/>
      <c r="CF13" s="1086"/>
      <c r="CG13" s="1085"/>
      <c r="CH13" s="1085"/>
      <c r="CI13" s="1085">
        <v>1433</v>
      </c>
      <c r="CJ13" s="1085"/>
      <c r="CK13" s="1171">
        <f t="shared" si="9"/>
        <v>1433</v>
      </c>
      <c r="CM13" s="1058">
        <v>2019</v>
      </c>
      <c r="CN13" s="1085"/>
      <c r="CO13" s="1061"/>
      <c r="CP13" s="1060"/>
      <c r="CQ13" s="1060"/>
      <c r="CR13" s="1060">
        <v>1433</v>
      </c>
      <c r="CS13" s="1060"/>
      <c r="CT13" s="1059">
        <f t="shared" si="10"/>
        <v>1433</v>
      </c>
      <c r="CV13" s="1058">
        <v>2019</v>
      </c>
      <c r="CW13" s="1085"/>
      <c r="CX13" s="1061"/>
      <c r="CY13" s="1060"/>
      <c r="CZ13" s="1060"/>
      <c r="DA13" s="1060">
        <v>1433</v>
      </c>
      <c r="DB13" s="1060"/>
      <c r="DC13" s="1059">
        <f t="shared" si="11"/>
        <v>1433</v>
      </c>
      <c r="DE13" s="1058">
        <v>2019</v>
      </c>
      <c r="DF13" s="1085"/>
      <c r="DG13" s="1061"/>
      <c r="DH13" s="1060"/>
      <c r="DI13" s="1060"/>
      <c r="DJ13" s="1060">
        <v>1433</v>
      </c>
      <c r="DK13" s="1060"/>
      <c r="DL13" s="1059">
        <f t="shared" si="12"/>
        <v>1433</v>
      </c>
      <c r="DN13" s="1058">
        <v>2020</v>
      </c>
      <c r="DO13" s="1085"/>
      <c r="DP13" s="1061"/>
      <c r="DQ13" s="1060"/>
      <c r="DR13" s="1060"/>
      <c r="DS13" s="1060">
        <v>4708</v>
      </c>
      <c r="DT13" s="1060"/>
      <c r="DU13" s="1059">
        <f t="shared" si="13"/>
        <v>4708</v>
      </c>
      <c r="DW13" s="1058">
        <v>2020</v>
      </c>
      <c r="DX13" s="1085"/>
      <c r="DY13" s="1061"/>
      <c r="DZ13" s="1060"/>
      <c r="EA13" s="1060"/>
      <c r="EB13" s="1060">
        <v>4708</v>
      </c>
      <c r="EC13" s="1060"/>
      <c r="ED13" s="1059">
        <f t="shared" si="14"/>
        <v>4708</v>
      </c>
      <c r="EF13" s="1058">
        <v>2020</v>
      </c>
      <c r="EG13" s="1085"/>
      <c r="EH13" s="1061"/>
      <c r="EI13" s="1060"/>
      <c r="EJ13" s="1060"/>
      <c r="EK13" s="1060">
        <v>4708</v>
      </c>
      <c r="EL13" s="1060"/>
      <c r="EM13" s="1059">
        <f t="shared" si="15"/>
        <v>4708</v>
      </c>
      <c r="EO13" s="1058">
        <v>2020</v>
      </c>
      <c r="EP13" s="1085"/>
      <c r="EQ13" s="1061"/>
      <c r="ER13" s="1060"/>
      <c r="ES13" s="1060"/>
      <c r="ET13" s="1060">
        <v>4708</v>
      </c>
      <c r="EU13" s="1060"/>
      <c r="EV13" s="1059">
        <f t="shared" si="16"/>
        <v>4708</v>
      </c>
      <c r="EX13" s="1058" t="s">
        <v>863</v>
      </c>
      <c r="EY13" s="1085"/>
      <c r="EZ13" s="1061"/>
      <c r="FA13" s="1060"/>
      <c r="FB13" s="1060"/>
      <c r="FC13" s="1093">
        <v>4349</v>
      </c>
      <c r="FD13" s="1093"/>
      <c r="FE13" s="1059">
        <f t="shared" si="17"/>
        <v>4349</v>
      </c>
      <c r="FG13" s="1058" t="s">
        <v>863</v>
      </c>
      <c r="FH13" s="1085"/>
      <c r="FI13" s="1061"/>
      <c r="FJ13" s="1060"/>
      <c r="FK13" s="1060"/>
      <c r="FL13" s="1093">
        <v>4349</v>
      </c>
      <c r="FM13" s="1093"/>
      <c r="FN13" s="1059">
        <f t="shared" si="18"/>
        <v>4349</v>
      </c>
      <c r="FP13" s="1058" t="s">
        <v>862</v>
      </c>
      <c r="FQ13" s="1085"/>
      <c r="FR13" s="1061"/>
      <c r="FS13" s="1060"/>
      <c r="FT13" s="1060"/>
      <c r="FU13" s="1060">
        <v>4931</v>
      </c>
      <c r="FV13" s="1060"/>
      <c r="FW13" s="1059">
        <f t="shared" si="19"/>
        <v>4931</v>
      </c>
      <c r="FY13" s="1058" t="s">
        <v>862</v>
      </c>
      <c r="FZ13" s="1085"/>
      <c r="GA13" s="1061"/>
      <c r="GB13" s="1060"/>
      <c r="GC13" s="1060"/>
      <c r="GD13" s="1060">
        <v>4931</v>
      </c>
      <c r="GE13" s="1060"/>
      <c r="GF13" s="1059">
        <f t="shared" si="20"/>
        <v>4931</v>
      </c>
      <c r="GH13" s="1058" t="s">
        <v>862</v>
      </c>
      <c r="GI13" s="1085"/>
      <c r="GJ13" s="1061"/>
      <c r="GK13" s="1060"/>
      <c r="GL13" s="1060"/>
      <c r="GM13" s="1060">
        <v>4931</v>
      </c>
      <c r="GN13" s="1060"/>
      <c r="GO13" s="1059">
        <f t="shared" si="21"/>
        <v>4931</v>
      </c>
      <c r="GQ13" s="1058" t="s">
        <v>862</v>
      </c>
      <c r="GR13" s="1085"/>
      <c r="GS13" s="1061"/>
      <c r="GT13" s="1060"/>
      <c r="GU13" s="1060"/>
      <c r="GV13" s="1060">
        <v>4931</v>
      </c>
      <c r="GW13" s="1060"/>
      <c r="GX13" s="1059">
        <f t="shared" si="22"/>
        <v>4931</v>
      </c>
      <c r="GZ13" s="1058" t="s">
        <v>861</v>
      </c>
      <c r="HA13" s="1085"/>
      <c r="HB13" s="1061"/>
      <c r="HC13" s="1060"/>
      <c r="HD13" s="1060"/>
      <c r="HE13" s="1060">
        <v>2631</v>
      </c>
      <c r="HF13" s="1060"/>
      <c r="HG13" s="1059">
        <f t="shared" si="23"/>
        <v>2631</v>
      </c>
      <c r="HI13" s="1058" t="s">
        <v>861</v>
      </c>
      <c r="HJ13" s="1085"/>
      <c r="HK13" s="1061"/>
      <c r="HL13" s="1060"/>
      <c r="HM13" s="1060"/>
      <c r="HN13" s="1060">
        <v>2631</v>
      </c>
      <c r="HO13" s="1060"/>
      <c r="HP13" s="1059">
        <f t="shared" si="24"/>
        <v>2631</v>
      </c>
      <c r="HR13" s="1058" t="s">
        <v>861</v>
      </c>
      <c r="HS13" s="1085"/>
      <c r="HT13" s="1061"/>
      <c r="HU13" s="1060"/>
      <c r="HV13" s="1060"/>
      <c r="HW13" s="1060">
        <v>2631</v>
      </c>
      <c r="HX13" s="1060"/>
      <c r="HY13" s="1059">
        <f t="shared" si="25"/>
        <v>2631</v>
      </c>
      <c r="IA13" s="1058" t="s">
        <v>861</v>
      </c>
      <c r="IB13" s="1085"/>
      <c r="IC13" s="1061"/>
      <c r="ID13" s="1060"/>
      <c r="IE13" s="1060"/>
      <c r="IF13" s="1060">
        <v>2631</v>
      </c>
      <c r="IG13" s="1060"/>
      <c r="IH13" s="1059">
        <f t="shared" si="26"/>
        <v>2631</v>
      </c>
      <c r="IJ13" s="1058" t="s">
        <v>860</v>
      </c>
      <c r="IK13" s="1085"/>
      <c r="IL13" s="1061"/>
      <c r="IM13" s="1060"/>
      <c r="IN13" s="1060"/>
      <c r="IO13" s="1060">
        <v>6513</v>
      </c>
      <c r="IP13" s="1060"/>
      <c r="IQ13" s="1059">
        <f t="shared" si="27"/>
        <v>6513</v>
      </c>
    </row>
    <row r="14" spans="2:251" ht="15.5" hidden="1" x14ac:dyDescent="0.35">
      <c r="B14" s="1161">
        <v>2017</v>
      </c>
      <c r="C14" s="1160"/>
      <c r="D14" s="1161"/>
      <c r="E14" s="1160"/>
      <c r="F14" s="1160"/>
      <c r="G14" s="1165">
        <v>31</v>
      </c>
      <c r="H14" s="1165"/>
      <c r="I14" s="1167">
        <f t="shared" si="0"/>
        <v>31</v>
      </c>
      <c r="J14" s="1162"/>
      <c r="K14" s="1161">
        <v>2018</v>
      </c>
      <c r="L14" s="1160"/>
      <c r="M14" s="1161"/>
      <c r="N14" s="1160"/>
      <c r="O14" s="1160"/>
      <c r="P14" s="1165">
        <v>1573</v>
      </c>
      <c r="Q14" s="1165"/>
      <c r="R14" s="1167">
        <f t="shared" si="1"/>
        <v>1573</v>
      </c>
      <c r="T14" s="1161">
        <v>2018</v>
      </c>
      <c r="U14" s="1160"/>
      <c r="V14" s="1161"/>
      <c r="W14" s="1160"/>
      <c r="X14" s="1161"/>
      <c r="Y14" s="1165">
        <v>1573</v>
      </c>
      <c r="Z14" s="1165"/>
      <c r="AA14" s="1167">
        <f t="shared" si="2"/>
        <v>1573</v>
      </c>
      <c r="AC14" s="1161">
        <v>2018</v>
      </c>
      <c r="AD14" s="1160"/>
      <c r="AE14" s="1161"/>
      <c r="AF14" s="1160"/>
      <c r="AG14" s="1160"/>
      <c r="AH14" s="1165">
        <v>1573</v>
      </c>
      <c r="AI14" s="1165"/>
      <c r="AJ14" s="1167">
        <f t="shared" si="3"/>
        <v>1573</v>
      </c>
      <c r="AL14" s="1161">
        <v>2018</v>
      </c>
      <c r="AM14" s="1160"/>
      <c r="AN14" s="1161"/>
      <c r="AO14" s="1160"/>
      <c r="AP14" s="1161"/>
      <c r="AQ14" s="1165">
        <v>1573</v>
      </c>
      <c r="AR14" s="1165"/>
      <c r="AS14" s="1167">
        <f t="shared" si="4"/>
        <v>1573</v>
      </c>
      <c r="AU14" s="1161">
        <v>2019</v>
      </c>
      <c r="AV14" s="1160"/>
      <c r="AW14" s="1161"/>
      <c r="AX14" s="1160"/>
      <c r="AY14" s="1160"/>
      <c r="AZ14" s="1165">
        <v>1433</v>
      </c>
      <c r="BA14" s="1165"/>
      <c r="BB14" s="1167">
        <f t="shared" si="5"/>
        <v>1433</v>
      </c>
      <c r="BD14" s="1161">
        <v>2019</v>
      </c>
      <c r="BE14" s="1168"/>
      <c r="BF14" s="1169"/>
      <c r="BG14" s="1168"/>
      <c r="BH14" s="1168"/>
      <c r="BI14" s="1168">
        <v>1433</v>
      </c>
      <c r="BJ14" s="1168"/>
      <c r="BK14" s="1170">
        <f t="shared" si="6"/>
        <v>1433</v>
      </c>
      <c r="BL14" s="1058">
        <v>2019</v>
      </c>
      <c r="BM14" s="1085"/>
      <c r="BN14" s="1086"/>
      <c r="BO14" s="1085"/>
      <c r="BP14" s="1085"/>
      <c r="BQ14" s="1085">
        <v>1433</v>
      </c>
      <c r="BR14" s="1085"/>
      <c r="BS14" s="1171">
        <f t="shared" si="7"/>
        <v>1433</v>
      </c>
      <c r="BU14" s="1058">
        <v>2019</v>
      </c>
      <c r="BV14" s="1085"/>
      <c r="BW14" s="1086"/>
      <c r="BX14" s="1085"/>
      <c r="BY14" s="1085"/>
      <c r="BZ14" s="1085">
        <v>1433</v>
      </c>
      <c r="CA14" s="1085"/>
      <c r="CB14" s="1171">
        <f t="shared" si="8"/>
        <v>1433</v>
      </c>
      <c r="CD14" s="1058">
        <v>2020</v>
      </c>
      <c r="CE14" s="1085"/>
      <c r="CF14" s="1086"/>
      <c r="CG14" s="1085"/>
      <c r="CH14" s="1085"/>
      <c r="CI14" s="1085">
        <v>4708</v>
      </c>
      <c r="CJ14" s="1085"/>
      <c r="CK14" s="1171">
        <f t="shared" si="9"/>
        <v>4708</v>
      </c>
      <c r="CM14" s="1058">
        <v>2020</v>
      </c>
      <c r="CN14" s="1085"/>
      <c r="CO14" s="1061"/>
      <c r="CP14" s="1060"/>
      <c r="CQ14" s="1060"/>
      <c r="CR14" s="1060">
        <v>4708</v>
      </c>
      <c r="CS14" s="1060"/>
      <c r="CT14" s="1059">
        <f t="shared" si="10"/>
        <v>4708</v>
      </c>
      <c r="CV14" s="1058">
        <v>2020</v>
      </c>
      <c r="CW14" s="1085"/>
      <c r="CX14" s="1061"/>
      <c r="CY14" s="1060"/>
      <c r="CZ14" s="1060"/>
      <c r="DA14" s="1060">
        <v>4708</v>
      </c>
      <c r="DB14" s="1060"/>
      <c r="DC14" s="1059">
        <f t="shared" si="11"/>
        <v>4708</v>
      </c>
      <c r="DE14" s="1058">
        <v>2020</v>
      </c>
      <c r="DF14" s="1085"/>
      <c r="DG14" s="1061"/>
      <c r="DH14" s="1060"/>
      <c r="DI14" s="1060"/>
      <c r="DJ14" s="1060">
        <v>4708</v>
      </c>
      <c r="DK14" s="1060"/>
      <c r="DL14" s="1059">
        <f t="shared" si="12"/>
        <v>4708</v>
      </c>
      <c r="DN14" s="1058">
        <v>2021</v>
      </c>
      <c r="DO14" s="1085"/>
      <c r="DP14" s="1061"/>
      <c r="DQ14" s="1060"/>
      <c r="DR14" s="1060"/>
      <c r="DS14" s="1093">
        <f>2417+1341</f>
        <v>3758</v>
      </c>
      <c r="DT14" s="1093"/>
      <c r="DU14" s="1059">
        <f t="shared" si="13"/>
        <v>3758</v>
      </c>
      <c r="DW14" s="1058">
        <v>2021</v>
      </c>
      <c r="DX14" s="1085"/>
      <c r="DY14" s="1061"/>
      <c r="DZ14" s="1060"/>
      <c r="EA14" s="1060"/>
      <c r="EB14" s="1093">
        <f>2417+1341</f>
        <v>3758</v>
      </c>
      <c r="EC14" s="1093"/>
      <c r="ED14" s="1059">
        <f t="shared" si="14"/>
        <v>3758</v>
      </c>
      <c r="EF14" s="1058">
        <v>2021</v>
      </c>
      <c r="EG14" s="1085"/>
      <c r="EH14" s="1061"/>
      <c r="EI14" s="1060"/>
      <c r="EJ14" s="1060"/>
      <c r="EK14" s="1093">
        <f>2417+1341</f>
        <v>3758</v>
      </c>
      <c r="EL14" s="1093"/>
      <c r="EM14" s="1059">
        <f t="shared" si="15"/>
        <v>3758</v>
      </c>
      <c r="EO14" s="1058">
        <v>2021</v>
      </c>
      <c r="EP14" s="1085"/>
      <c r="EQ14" s="1061"/>
      <c r="ER14" s="1060"/>
      <c r="ES14" s="1060"/>
      <c r="ET14" s="1093">
        <v>3758</v>
      </c>
      <c r="EU14" s="1093"/>
      <c r="EV14" s="1059">
        <f t="shared" si="16"/>
        <v>3758</v>
      </c>
      <c r="EX14" s="1058" t="s">
        <v>862</v>
      </c>
      <c r="EY14" s="1085"/>
      <c r="EZ14" s="1061"/>
      <c r="FA14" s="1060"/>
      <c r="FB14" s="1060"/>
      <c r="FC14" s="1060">
        <v>4931</v>
      </c>
      <c r="FD14" s="1060"/>
      <c r="FE14" s="1059">
        <f t="shared" si="17"/>
        <v>4931</v>
      </c>
      <c r="FG14" s="1058" t="s">
        <v>862</v>
      </c>
      <c r="FH14" s="1085"/>
      <c r="FI14" s="1061"/>
      <c r="FJ14" s="1060"/>
      <c r="FK14" s="1060"/>
      <c r="FL14" s="1060">
        <v>4931</v>
      </c>
      <c r="FM14" s="1060"/>
      <c r="FN14" s="1059">
        <f t="shared" si="18"/>
        <v>4931</v>
      </c>
      <c r="FP14" s="1058" t="s">
        <v>861</v>
      </c>
      <c r="FQ14" s="1085"/>
      <c r="FR14" s="1061"/>
      <c r="FS14" s="1060"/>
      <c r="FT14" s="1060"/>
      <c r="FU14" s="1060">
        <v>2631</v>
      </c>
      <c r="FV14" s="1060"/>
      <c r="FW14" s="1059">
        <f t="shared" si="19"/>
        <v>2631</v>
      </c>
      <c r="FY14" s="1058" t="s">
        <v>861</v>
      </c>
      <c r="FZ14" s="1085"/>
      <c r="GA14" s="1061"/>
      <c r="GB14" s="1060"/>
      <c r="GC14" s="1060"/>
      <c r="GD14" s="1060">
        <v>2631</v>
      </c>
      <c r="GE14" s="1060"/>
      <c r="GF14" s="1059">
        <f t="shared" si="20"/>
        <v>2631</v>
      </c>
      <c r="GH14" s="1058" t="s">
        <v>861</v>
      </c>
      <c r="GI14" s="1085"/>
      <c r="GJ14" s="1061"/>
      <c r="GK14" s="1060"/>
      <c r="GL14" s="1060"/>
      <c r="GM14" s="1060">
        <v>2631</v>
      </c>
      <c r="GN14" s="1060"/>
      <c r="GO14" s="1059">
        <f t="shared" si="21"/>
        <v>2631</v>
      </c>
      <c r="GQ14" s="1058" t="s">
        <v>861</v>
      </c>
      <c r="GR14" s="1085"/>
      <c r="GS14" s="1061"/>
      <c r="GT14" s="1060"/>
      <c r="GU14" s="1060"/>
      <c r="GV14" s="1060">
        <v>2631</v>
      </c>
      <c r="GW14" s="1060"/>
      <c r="GX14" s="1059">
        <f t="shared" si="22"/>
        <v>2631</v>
      </c>
      <c r="GZ14" s="1058" t="s">
        <v>860</v>
      </c>
      <c r="HA14" s="1085"/>
      <c r="HB14" s="1061"/>
      <c r="HC14" s="1060"/>
      <c r="HD14" s="1060"/>
      <c r="HE14" s="1060">
        <v>6513</v>
      </c>
      <c r="HF14" s="1060"/>
      <c r="HG14" s="1059">
        <f t="shared" si="23"/>
        <v>6513</v>
      </c>
      <c r="HI14" s="1058" t="s">
        <v>860</v>
      </c>
      <c r="HJ14" s="1085"/>
      <c r="HK14" s="1061"/>
      <c r="HL14" s="1060"/>
      <c r="HM14" s="1060"/>
      <c r="HN14" s="1060">
        <v>6513</v>
      </c>
      <c r="HO14" s="1060"/>
      <c r="HP14" s="1059">
        <f t="shared" si="24"/>
        <v>6513</v>
      </c>
      <c r="HR14" s="1058" t="s">
        <v>860</v>
      </c>
      <c r="HS14" s="1085"/>
      <c r="HT14" s="1061"/>
      <c r="HU14" s="1060"/>
      <c r="HV14" s="1060"/>
      <c r="HW14" s="1060">
        <v>6513</v>
      </c>
      <c r="HX14" s="1060"/>
      <c r="HY14" s="1059">
        <f t="shared" si="25"/>
        <v>6513</v>
      </c>
      <c r="IA14" s="1058" t="s">
        <v>860</v>
      </c>
      <c r="IB14" s="1085"/>
      <c r="IC14" s="1061"/>
      <c r="ID14" s="1060"/>
      <c r="IE14" s="1060"/>
      <c r="IF14" s="1060">
        <v>6513</v>
      </c>
      <c r="IG14" s="1060"/>
      <c r="IH14" s="1059">
        <f t="shared" si="26"/>
        <v>6513</v>
      </c>
      <c r="IJ14" s="1058" t="s">
        <v>859</v>
      </c>
      <c r="IK14" s="1085"/>
      <c r="IL14" s="1061"/>
      <c r="IM14" s="1060"/>
      <c r="IN14" s="1060"/>
      <c r="IO14" s="1060">
        <v>6083</v>
      </c>
      <c r="IP14" s="1060"/>
      <c r="IQ14" s="1059">
        <f t="shared" si="27"/>
        <v>6083</v>
      </c>
    </row>
    <row r="15" spans="2:251" ht="15.5" hidden="1" x14ac:dyDescent="0.35">
      <c r="B15" s="1161">
        <v>2018</v>
      </c>
      <c r="C15" s="1160"/>
      <c r="D15" s="1161"/>
      <c r="E15" s="1160"/>
      <c r="F15" s="1160"/>
      <c r="G15" s="1165">
        <v>1573</v>
      </c>
      <c r="H15" s="1165"/>
      <c r="I15" s="1167">
        <f t="shared" si="0"/>
        <v>1573</v>
      </c>
      <c r="J15" s="1162"/>
      <c r="K15" s="1161">
        <v>2019</v>
      </c>
      <c r="L15" s="1160"/>
      <c r="M15" s="1161"/>
      <c r="N15" s="1160"/>
      <c r="O15" s="1160"/>
      <c r="P15" s="1165">
        <v>1433</v>
      </c>
      <c r="Q15" s="1165"/>
      <c r="R15" s="1167">
        <f t="shared" si="1"/>
        <v>1433</v>
      </c>
      <c r="T15" s="1161">
        <v>2019</v>
      </c>
      <c r="U15" s="1160"/>
      <c r="V15" s="1161"/>
      <c r="W15" s="1160"/>
      <c r="X15" s="1161"/>
      <c r="Y15" s="1165">
        <v>1433</v>
      </c>
      <c r="Z15" s="1165"/>
      <c r="AA15" s="1167">
        <f t="shared" si="2"/>
        <v>1433</v>
      </c>
      <c r="AC15" s="1161">
        <v>2019</v>
      </c>
      <c r="AD15" s="1160"/>
      <c r="AE15" s="1161"/>
      <c r="AF15" s="1160"/>
      <c r="AG15" s="1160"/>
      <c r="AH15" s="1165">
        <v>1433</v>
      </c>
      <c r="AI15" s="1165"/>
      <c r="AJ15" s="1167">
        <f t="shared" si="3"/>
        <v>1433</v>
      </c>
      <c r="AL15" s="1161">
        <v>2019</v>
      </c>
      <c r="AM15" s="1160"/>
      <c r="AN15" s="1161"/>
      <c r="AO15" s="1160"/>
      <c r="AP15" s="1160"/>
      <c r="AQ15" s="1165">
        <v>1433</v>
      </c>
      <c r="AR15" s="1165"/>
      <c r="AS15" s="1167">
        <f t="shared" si="4"/>
        <v>1433</v>
      </c>
      <c r="AU15" s="1161">
        <v>2020</v>
      </c>
      <c r="AV15" s="1160"/>
      <c r="AW15" s="1161"/>
      <c r="AX15" s="1160"/>
      <c r="AY15" s="1160"/>
      <c r="AZ15" s="1165">
        <v>4708</v>
      </c>
      <c r="BA15" s="1165"/>
      <c r="BB15" s="1167">
        <f t="shared" si="5"/>
        <v>4708</v>
      </c>
      <c r="BD15" s="1161">
        <v>2020</v>
      </c>
      <c r="BE15" s="1168"/>
      <c r="BF15" s="1169"/>
      <c r="BG15" s="1168"/>
      <c r="BH15" s="1168"/>
      <c r="BI15" s="1168">
        <v>4708</v>
      </c>
      <c r="BJ15" s="1168"/>
      <c r="BK15" s="1170">
        <f t="shared" si="6"/>
        <v>4708</v>
      </c>
      <c r="BL15" s="1058">
        <v>2020</v>
      </c>
      <c r="BM15" s="1085"/>
      <c r="BN15" s="1086"/>
      <c r="BO15" s="1085"/>
      <c r="BP15" s="1085"/>
      <c r="BQ15" s="1085">
        <v>4708</v>
      </c>
      <c r="BR15" s="1085"/>
      <c r="BS15" s="1171">
        <f t="shared" si="7"/>
        <v>4708</v>
      </c>
      <c r="BU15" s="1058">
        <v>2020</v>
      </c>
      <c r="BV15" s="1085"/>
      <c r="BW15" s="1086"/>
      <c r="BX15" s="1085"/>
      <c r="BY15" s="1085"/>
      <c r="BZ15" s="1085">
        <v>4708</v>
      </c>
      <c r="CA15" s="1085"/>
      <c r="CB15" s="1171">
        <f t="shared" si="8"/>
        <v>4708</v>
      </c>
      <c r="CD15" s="1058">
        <v>2021</v>
      </c>
      <c r="CE15" s="1085"/>
      <c r="CF15" s="1086"/>
      <c r="CG15" s="1085"/>
      <c r="CH15" s="1085"/>
      <c r="CI15" s="1176">
        <f>2417+1341</f>
        <v>3758</v>
      </c>
      <c r="CJ15" s="1176"/>
      <c r="CK15" s="1171">
        <f t="shared" si="9"/>
        <v>3758</v>
      </c>
      <c r="CM15" s="1058">
        <v>2021</v>
      </c>
      <c r="CN15" s="1085"/>
      <c r="CO15" s="1061"/>
      <c r="CP15" s="1060"/>
      <c r="CQ15" s="1060"/>
      <c r="CR15" s="1093">
        <f>2417+1341</f>
        <v>3758</v>
      </c>
      <c r="CS15" s="1093"/>
      <c r="CT15" s="1059">
        <f t="shared" si="10"/>
        <v>3758</v>
      </c>
      <c r="CV15" s="1058">
        <v>2021</v>
      </c>
      <c r="CW15" s="1085"/>
      <c r="CX15" s="1061"/>
      <c r="CY15" s="1060"/>
      <c r="CZ15" s="1060"/>
      <c r="DA15" s="1093">
        <f>2417+1341</f>
        <v>3758</v>
      </c>
      <c r="DB15" s="1093"/>
      <c r="DC15" s="1059">
        <f t="shared" si="11"/>
        <v>3758</v>
      </c>
      <c r="DE15" s="1058">
        <v>2021</v>
      </c>
      <c r="DF15" s="1085"/>
      <c r="DG15" s="1061"/>
      <c r="DH15" s="1060"/>
      <c r="DI15" s="1060"/>
      <c r="DJ15" s="1093">
        <f>2417+1341</f>
        <v>3758</v>
      </c>
      <c r="DK15" s="1093"/>
      <c r="DL15" s="1059">
        <f t="shared" si="12"/>
        <v>3758</v>
      </c>
      <c r="DN15" s="1058">
        <v>2022</v>
      </c>
      <c r="DO15" s="1085"/>
      <c r="DP15" s="1061"/>
      <c r="DQ15" s="1060"/>
      <c r="DR15" s="1060"/>
      <c r="DS15" s="1060">
        <v>4242</v>
      </c>
      <c r="DT15" s="1060"/>
      <c r="DU15" s="1059">
        <f t="shared" si="13"/>
        <v>4242</v>
      </c>
      <c r="DW15" s="1058">
        <v>2022</v>
      </c>
      <c r="DX15" s="1085"/>
      <c r="DY15" s="1061"/>
      <c r="DZ15" s="1060"/>
      <c r="EA15" s="1060"/>
      <c r="EB15" s="1060">
        <v>4242</v>
      </c>
      <c r="EC15" s="1060"/>
      <c r="ED15" s="1059">
        <f t="shared" si="14"/>
        <v>4242</v>
      </c>
      <c r="EF15" s="1058">
        <v>2022</v>
      </c>
      <c r="EG15" s="1085"/>
      <c r="EH15" s="1061"/>
      <c r="EI15" s="1060"/>
      <c r="EJ15" s="1060"/>
      <c r="EK15" s="1060">
        <v>4242</v>
      </c>
      <c r="EL15" s="1060"/>
      <c r="EM15" s="1059">
        <f t="shared" si="15"/>
        <v>4242</v>
      </c>
      <c r="EO15" s="1058">
        <v>2022</v>
      </c>
      <c r="EP15" s="1085"/>
      <c r="EQ15" s="1061"/>
      <c r="ER15" s="1060"/>
      <c r="ES15" s="1060"/>
      <c r="ET15" s="1060">
        <v>4242</v>
      </c>
      <c r="EU15" s="1060"/>
      <c r="EV15" s="1059">
        <f t="shared" si="16"/>
        <v>4242</v>
      </c>
      <c r="EX15" s="1058" t="s">
        <v>861</v>
      </c>
      <c r="EY15" s="1085"/>
      <c r="EZ15" s="1061"/>
      <c r="FA15" s="1060"/>
      <c r="FB15" s="1060"/>
      <c r="FC15" s="1060">
        <v>2631</v>
      </c>
      <c r="FD15" s="1060"/>
      <c r="FE15" s="1059">
        <f t="shared" si="17"/>
        <v>2631</v>
      </c>
      <c r="FG15" s="1058" t="s">
        <v>861</v>
      </c>
      <c r="FH15" s="1085"/>
      <c r="FI15" s="1061"/>
      <c r="FJ15" s="1060"/>
      <c r="FK15" s="1060"/>
      <c r="FL15" s="1060">
        <v>2631</v>
      </c>
      <c r="FM15" s="1060"/>
      <c r="FN15" s="1059">
        <f t="shared" si="18"/>
        <v>2631</v>
      </c>
      <c r="FP15" s="1058" t="s">
        <v>860</v>
      </c>
      <c r="FQ15" s="1085"/>
      <c r="FR15" s="1061"/>
      <c r="FS15" s="1060"/>
      <c r="FT15" s="1060"/>
      <c r="FU15" s="1060">
        <v>6513</v>
      </c>
      <c r="FV15" s="1060"/>
      <c r="FW15" s="1059">
        <f t="shared" si="19"/>
        <v>6513</v>
      </c>
      <c r="FY15" s="1058" t="s">
        <v>860</v>
      </c>
      <c r="FZ15" s="1085"/>
      <c r="GA15" s="1061"/>
      <c r="GB15" s="1060"/>
      <c r="GC15" s="1060"/>
      <c r="GD15" s="1060">
        <v>6513</v>
      </c>
      <c r="GE15" s="1060"/>
      <c r="GF15" s="1059">
        <f t="shared" si="20"/>
        <v>6513</v>
      </c>
      <c r="GH15" s="1058" t="s">
        <v>860</v>
      </c>
      <c r="GI15" s="1085"/>
      <c r="GJ15" s="1061"/>
      <c r="GK15" s="1060"/>
      <c r="GL15" s="1060"/>
      <c r="GM15" s="1060">
        <v>6513</v>
      </c>
      <c r="GN15" s="1060"/>
      <c r="GO15" s="1059">
        <f t="shared" si="21"/>
        <v>6513</v>
      </c>
      <c r="GQ15" s="1058" t="s">
        <v>860</v>
      </c>
      <c r="GR15" s="1085"/>
      <c r="GS15" s="1061"/>
      <c r="GT15" s="1060"/>
      <c r="GU15" s="1060"/>
      <c r="GV15" s="1060">
        <v>6513</v>
      </c>
      <c r="GW15" s="1060"/>
      <c r="GX15" s="1059">
        <f t="shared" si="22"/>
        <v>6513</v>
      </c>
      <c r="GZ15" s="1058" t="s">
        <v>859</v>
      </c>
      <c r="HA15" s="1085"/>
      <c r="HB15" s="1061"/>
      <c r="HC15" s="1060"/>
      <c r="HD15" s="1060"/>
      <c r="HE15" s="1060">
        <v>6083</v>
      </c>
      <c r="HF15" s="1060"/>
      <c r="HG15" s="1059">
        <f t="shared" si="23"/>
        <v>6083</v>
      </c>
      <c r="HI15" s="1058" t="s">
        <v>859</v>
      </c>
      <c r="HJ15" s="1085"/>
      <c r="HK15" s="1061"/>
      <c r="HL15" s="1060"/>
      <c r="HM15" s="1060"/>
      <c r="HN15" s="1060">
        <v>6083</v>
      </c>
      <c r="HO15" s="1060"/>
      <c r="HP15" s="1059">
        <f t="shared" si="24"/>
        <v>6083</v>
      </c>
      <c r="HR15" s="1058" t="s">
        <v>859</v>
      </c>
      <c r="HS15" s="1085"/>
      <c r="HT15" s="1061"/>
      <c r="HU15" s="1060"/>
      <c r="HV15" s="1060"/>
      <c r="HW15" s="1060">
        <v>6083</v>
      </c>
      <c r="HX15" s="1060"/>
      <c r="HY15" s="1059">
        <f t="shared" si="25"/>
        <v>6083</v>
      </c>
      <c r="IA15" s="1058" t="s">
        <v>859</v>
      </c>
      <c r="IB15" s="1085"/>
      <c r="IC15" s="1061"/>
      <c r="ID15" s="1060"/>
      <c r="IE15" s="1060"/>
      <c r="IF15" s="1060">
        <v>6083</v>
      </c>
      <c r="IG15" s="1060"/>
      <c r="IH15" s="1059">
        <f t="shared" si="26"/>
        <v>6083</v>
      </c>
      <c r="IJ15" s="1058" t="s">
        <v>858</v>
      </c>
      <c r="IK15" s="1085"/>
      <c r="IL15" s="1061"/>
      <c r="IM15" s="1060"/>
      <c r="IN15" s="1060"/>
      <c r="IO15" s="1061">
        <v>9041</v>
      </c>
      <c r="IP15" s="1061">
        <v>621</v>
      </c>
      <c r="IQ15" s="1059">
        <f t="shared" si="27"/>
        <v>9662</v>
      </c>
    </row>
    <row r="16" spans="2:251" ht="15.5" hidden="1" x14ac:dyDescent="0.35">
      <c r="B16" s="1161">
        <v>2019</v>
      </c>
      <c r="C16" s="1160"/>
      <c r="D16" s="1161"/>
      <c r="E16" s="1160"/>
      <c r="F16" s="1160"/>
      <c r="G16" s="1165">
        <v>1433</v>
      </c>
      <c r="H16" s="1165"/>
      <c r="I16" s="1167">
        <f t="shared" si="0"/>
        <v>1433</v>
      </c>
      <c r="J16" s="1162"/>
      <c r="K16" s="1161">
        <v>2020</v>
      </c>
      <c r="L16" s="1160"/>
      <c r="M16" s="1161"/>
      <c r="N16" s="1160"/>
      <c r="O16" s="1160"/>
      <c r="P16" s="1165">
        <v>3769</v>
      </c>
      <c r="Q16" s="1165"/>
      <c r="R16" s="1167">
        <f t="shared" si="1"/>
        <v>3769</v>
      </c>
      <c r="T16" s="1161">
        <v>2020</v>
      </c>
      <c r="U16" s="1160"/>
      <c r="V16" s="1161"/>
      <c r="W16" s="1160"/>
      <c r="X16" s="1160"/>
      <c r="Y16" s="1165">
        <v>4708</v>
      </c>
      <c r="Z16" s="1165"/>
      <c r="AA16" s="1167">
        <f t="shared" si="2"/>
        <v>4708</v>
      </c>
      <c r="AC16" s="1161">
        <v>2020</v>
      </c>
      <c r="AD16" s="1160"/>
      <c r="AE16" s="1161"/>
      <c r="AF16" s="1160"/>
      <c r="AG16" s="1160"/>
      <c r="AH16" s="1165">
        <v>4708</v>
      </c>
      <c r="AI16" s="1165"/>
      <c r="AJ16" s="1167">
        <f t="shared" si="3"/>
        <v>4708</v>
      </c>
      <c r="AL16" s="1161">
        <v>2020</v>
      </c>
      <c r="AM16" s="1160"/>
      <c r="AN16" s="1161"/>
      <c r="AO16" s="1160"/>
      <c r="AP16" s="1160"/>
      <c r="AQ16" s="1165">
        <v>4708</v>
      </c>
      <c r="AR16" s="1165"/>
      <c r="AS16" s="1167">
        <f t="shared" si="4"/>
        <v>4708</v>
      </c>
      <c r="AU16" s="1161">
        <v>2021</v>
      </c>
      <c r="AV16" s="1160"/>
      <c r="AW16" s="1161"/>
      <c r="AX16" s="1160"/>
      <c r="AY16" s="1160"/>
      <c r="AZ16" s="1177">
        <f>2417+1341</f>
        <v>3758</v>
      </c>
      <c r="BA16" s="1177"/>
      <c r="BB16" s="1167">
        <f t="shared" si="5"/>
        <v>3758</v>
      </c>
      <c r="BD16" s="1161">
        <v>2021</v>
      </c>
      <c r="BE16" s="1168"/>
      <c r="BF16" s="1169"/>
      <c r="BG16" s="1168"/>
      <c r="BH16" s="1168"/>
      <c r="BI16" s="1178">
        <f>2417+1341</f>
        <v>3758</v>
      </c>
      <c r="BJ16" s="1178"/>
      <c r="BK16" s="1170">
        <f t="shared" si="6"/>
        <v>3758</v>
      </c>
      <c r="BL16" s="1058">
        <v>2021</v>
      </c>
      <c r="BM16" s="1085"/>
      <c r="BN16" s="1086"/>
      <c r="BO16" s="1085"/>
      <c r="BP16" s="1085"/>
      <c r="BQ16" s="1176">
        <f>2417+1341</f>
        <v>3758</v>
      </c>
      <c r="BR16" s="1176"/>
      <c r="BS16" s="1171">
        <f t="shared" si="7"/>
        <v>3758</v>
      </c>
      <c r="BU16" s="1058">
        <v>2021</v>
      </c>
      <c r="BV16" s="1085"/>
      <c r="BW16" s="1086"/>
      <c r="BX16" s="1085"/>
      <c r="BY16" s="1085"/>
      <c r="BZ16" s="1176">
        <f>2417+1341</f>
        <v>3758</v>
      </c>
      <c r="CA16" s="1176"/>
      <c r="CB16" s="1171">
        <f t="shared" si="8"/>
        <v>3758</v>
      </c>
      <c r="CD16" s="1058">
        <v>2022</v>
      </c>
      <c r="CE16" s="1085"/>
      <c r="CF16" s="1086"/>
      <c r="CG16" s="1085"/>
      <c r="CH16" s="1085"/>
      <c r="CI16" s="1085">
        <v>4242</v>
      </c>
      <c r="CJ16" s="1085"/>
      <c r="CK16" s="1171">
        <f t="shared" si="9"/>
        <v>4242</v>
      </c>
      <c r="CM16" s="1058">
        <v>2022</v>
      </c>
      <c r="CN16" s="1085"/>
      <c r="CO16" s="1061"/>
      <c r="CP16" s="1060"/>
      <c r="CQ16" s="1060"/>
      <c r="CR16" s="1060">
        <v>4242</v>
      </c>
      <c r="CS16" s="1060"/>
      <c r="CT16" s="1059">
        <f t="shared" si="10"/>
        <v>4242</v>
      </c>
      <c r="CV16" s="1058">
        <v>2022</v>
      </c>
      <c r="CW16" s="1085"/>
      <c r="CX16" s="1061"/>
      <c r="CY16" s="1060"/>
      <c r="CZ16" s="1060"/>
      <c r="DA16" s="1060">
        <v>4242</v>
      </c>
      <c r="DB16" s="1060"/>
      <c r="DC16" s="1059">
        <f t="shared" si="11"/>
        <v>4242</v>
      </c>
      <c r="DE16" s="1058">
        <v>2022</v>
      </c>
      <c r="DF16" s="1085"/>
      <c r="DG16" s="1061"/>
      <c r="DH16" s="1060"/>
      <c r="DI16" s="1060"/>
      <c r="DJ16" s="1060">
        <v>4242</v>
      </c>
      <c r="DK16" s="1060"/>
      <c r="DL16" s="1059">
        <f t="shared" si="12"/>
        <v>4242</v>
      </c>
      <c r="DN16" s="1058">
        <v>2023</v>
      </c>
      <c r="DO16" s="1085"/>
      <c r="DP16" s="1061"/>
      <c r="DQ16" s="1060"/>
      <c r="DR16" s="1060"/>
      <c r="DS16" s="1060">
        <v>3313</v>
      </c>
      <c r="DT16" s="1060"/>
      <c r="DU16" s="1059">
        <f t="shared" si="13"/>
        <v>3313</v>
      </c>
      <c r="DW16" s="1058">
        <v>2023</v>
      </c>
      <c r="DX16" s="1085"/>
      <c r="DY16" s="1061"/>
      <c r="DZ16" s="1060"/>
      <c r="EA16" s="1060"/>
      <c r="EB16" s="1060">
        <v>3313</v>
      </c>
      <c r="EC16" s="1060"/>
      <c r="ED16" s="1059">
        <f t="shared" si="14"/>
        <v>3313</v>
      </c>
      <c r="EF16" s="1058">
        <v>2023</v>
      </c>
      <c r="EG16" s="1085"/>
      <c r="EH16" s="1061"/>
      <c r="EI16" s="1060"/>
      <c r="EJ16" s="1060"/>
      <c r="EK16" s="1060">
        <v>3313</v>
      </c>
      <c r="EL16" s="1060"/>
      <c r="EM16" s="1059">
        <f t="shared" si="15"/>
        <v>3313</v>
      </c>
      <c r="EO16" s="1058">
        <v>2023</v>
      </c>
      <c r="EP16" s="1085"/>
      <c r="EQ16" s="1061"/>
      <c r="ER16" s="1060"/>
      <c r="ES16" s="1060"/>
      <c r="ET16" s="1060">
        <v>3313</v>
      </c>
      <c r="EU16" s="1060"/>
      <c r="EV16" s="1059">
        <f t="shared" si="16"/>
        <v>3313</v>
      </c>
      <c r="EX16" s="1058" t="s">
        <v>860</v>
      </c>
      <c r="EY16" s="1085"/>
      <c r="EZ16" s="1061"/>
      <c r="FA16" s="1060"/>
      <c r="FB16" s="1060"/>
      <c r="FC16" s="1060">
        <v>6513</v>
      </c>
      <c r="FD16" s="1060"/>
      <c r="FE16" s="1059">
        <f t="shared" si="17"/>
        <v>6513</v>
      </c>
      <c r="FG16" s="1058" t="s">
        <v>860</v>
      </c>
      <c r="FH16" s="1085"/>
      <c r="FI16" s="1061"/>
      <c r="FJ16" s="1060"/>
      <c r="FK16" s="1060"/>
      <c r="FL16" s="1060">
        <v>6513</v>
      </c>
      <c r="FM16" s="1060"/>
      <c r="FN16" s="1059">
        <f t="shared" si="18"/>
        <v>6513</v>
      </c>
      <c r="FP16" s="1058" t="s">
        <v>859</v>
      </c>
      <c r="FQ16" s="1085"/>
      <c r="FR16" s="1061"/>
      <c r="FS16" s="1060"/>
      <c r="FT16" s="1060"/>
      <c r="FU16" s="1060">
        <f>3583+2500</f>
        <v>6083</v>
      </c>
      <c r="FV16" s="1060"/>
      <c r="FW16" s="1059">
        <f t="shared" si="19"/>
        <v>6083</v>
      </c>
      <c r="FY16" s="1058" t="s">
        <v>859</v>
      </c>
      <c r="FZ16" s="1085"/>
      <c r="GA16" s="1061"/>
      <c r="GB16" s="1060"/>
      <c r="GC16" s="1060"/>
      <c r="GD16" s="1060">
        <v>6083</v>
      </c>
      <c r="GE16" s="1060"/>
      <c r="GF16" s="1059">
        <f t="shared" si="20"/>
        <v>6083</v>
      </c>
      <c r="GH16" s="1058" t="s">
        <v>859</v>
      </c>
      <c r="GI16" s="1085"/>
      <c r="GJ16" s="1061"/>
      <c r="GK16" s="1060"/>
      <c r="GL16" s="1060"/>
      <c r="GM16" s="1060">
        <v>6083</v>
      </c>
      <c r="GN16" s="1060"/>
      <c r="GO16" s="1059">
        <f t="shared" si="21"/>
        <v>6083</v>
      </c>
      <c r="GQ16" s="1058" t="s">
        <v>859</v>
      </c>
      <c r="GR16" s="1085"/>
      <c r="GS16" s="1061"/>
      <c r="GT16" s="1060"/>
      <c r="GU16" s="1060"/>
      <c r="GV16" s="1060">
        <v>6083</v>
      </c>
      <c r="GW16" s="1060"/>
      <c r="GX16" s="1059">
        <f t="shared" si="22"/>
        <v>6083</v>
      </c>
      <c r="GZ16" s="1058" t="s">
        <v>858</v>
      </c>
      <c r="HA16" s="1085"/>
      <c r="HB16" s="1061"/>
      <c r="HC16" s="1060"/>
      <c r="HD16" s="1060"/>
      <c r="HE16" s="1061">
        <v>9041</v>
      </c>
      <c r="HF16" s="1061">
        <v>621</v>
      </c>
      <c r="HG16" s="1059">
        <f t="shared" si="23"/>
        <v>9662</v>
      </c>
      <c r="HI16" s="1058" t="s">
        <v>858</v>
      </c>
      <c r="HJ16" s="1085"/>
      <c r="HK16" s="1061"/>
      <c r="HL16" s="1060"/>
      <c r="HM16" s="1060"/>
      <c r="HN16" s="1061">
        <v>9041</v>
      </c>
      <c r="HO16" s="1061">
        <v>621</v>
      </c>
      <c r="HP16" s="1059">
        <f t="shared" si="24"/>
        <v>9662</v>
      </c>
      <c r="HR16" s="1058" t="s">
        <v>858</v>
      </c>
      <c r="HS16" s="1085"/>
      <c r="HT16" s="1061"/>
      <c r="HU16" s="1060"/>
      <c r="HV16" s="1060"/>
      <c r="HW16" s="1061">
        <v>9041</v>
      </c>
      <c r="HX16" s="1061">
        <v>621</v>
      </c>
      <c r="HY16" s="1059">
        <f t="shared" si="25"/>
        <v>9662</v>
      </c>
      <c r="IA16" s="1058" t="s">
        <v>858</v>
      </c>
      <c r="IB16" s="1085"/>
      <c r="IC16" s="1061"/>
      <c r="ID16" s="1060"/>
      <c r="IE16" s="1060"/>
      <c r="IF16" s="1061">
        <v>9041</v>
      </c>
      <c r="IG16" s="1061">
        <v>621</v>
      </c>
      <c r="IH16" s="1059">
        <f t="shared" si="26"/>
        <v>9662</v>
      </c>
      <c r="IJ16" s="1058" t="s">
        <v>466</v>
      </c>
      <c r="IK16" s="1086"/>
      <c r="IL16" s="1061"/>
      <c r="IM16" s="1060"/>
      <c r="IN16" s="1060"/>
      <c r="IO16" s="1061">
        <f>2493+1400+1400+2000</f>
        <v>7293</v>
      </c>
      <c r="IP16" s="1061">
        <v>1000</v>
      </c>
      <c r="IQ16" s="1059">
        <f t="shared" si="27"/>
        <v>8293</v>
      </c>
    </row>
    <row r="17" spans="2:251" ht="15.5" hidden="1" x14ac:dyDescent="0.35">
      <c r="B17" s="1161">
        <v>2020</v>
      </c>
      <c r="C17" s="1160"/>
      <c r="D17" s="1161"/>
      <c r="E17" s="1160"/>
      <c r="F17" s="1160"/>
      <c r="G17" s="1165">
        <v>3147</v>
      </c>
      <c r="H17" s="1165"/>
      <c r="I17" s="1167">
        <f t="shared" si="0"/>
        <v>3147</v>
      </c>
      <c r="J17" s="1162"/>
      <c r="K17" s="1161">
        <v>2021</v>
      </c>
      <c r="L17" s="1160"/>
      <c r="M17" s="1161"/>
      <c r="N17" s="1160"/>
      <c r="O17" s="1160"/>
      <c r="P17" s="1165">
        <v>1129</v>
      </c>
      <c r="Q17" s="1165"/>
      <c r="R17" s="1167">
        <f t="shared" si="1"/>
        <v>1129</v>
      </c>
      <c r="T17" s="1161">
        <v>2021</v>
      </c>
      <c r="U17" s="1160"/>
      <c r="V17" s="1161"/>
      <c r="W17" s="1160"/>
      <c r="X17" s="1160"/>
      <c r="Y17" s="1165">
        <v>1129</v>
      </c>
      <c r="Z17" s="1165"/>
      <c r="AA17" s="1167">
        <f t="shared" si="2"/>
        <v>1129</v>
      </c>
      <c r="AC17" s="1161">
        <v>2021</v>
      </c>
      <c r="AD17" s="1160"/>
      <c r="AE17" s="1161"/>
      <c r="AF17" s="1160"/>
      <c r="AG17" s="1160"/>
      <c r="AH17" s="1165">
        <v>1129</v>
      </c>
      <c r="AI17" s="1165"/>
      <c r="AJ17" s="1167">
        <f t="shared" si="3"/>
        <v>1129</v>
      </c>
      <c r="AL17" s="1161">
        <v>2021</v>
      </c>
      <c r="AM17" s="1160"/>
      <c r="AN17" s="1161"/>
      <c r="AO17" s="1160"/>
      <c r="AP17" s="1160"/>
      <c r="AQ17" s="1177">
        <v>2417</v>
      </c>
      <c r="AR17" s="1177"/>
      <c r="AS17" s="1167">
        <f t="shared" si="4"/>
        <v>2417</v>
      </c>
      <c r="AU17" s="1161">
        <v>2022</v>
      </c>
      <c r="AV17" s="1160"/>
      <c r="AW17" s="1161"/>
      <c r="AX17" s="1160"/>
      <c r="AY17" s="1160"/>
      <c r="AZ17" s="1165">
        <v>796</v>
      </c>
      <c r="BA17" s="1165"/>
      <c r="BB17" s="1167">
        <f t="shared" si="5"/>
        <v>796</v>
      </c>
      <c r="BD17" s="1161">
        <v>2022</v>
      </c>
      <c r="BE17" s="1168"/>
      <c r="BF17" s="1169"/>
      <c r="BG17" s="1168"/>
      <c r="BH17" s="1168"/>
      <c r="BI17" s="1168">
        <v>796</v>
      </c>
      <c r="BJ17" s="1168"/>
      <c r="BK17" s="1170">
        <f t="shared" si="6"/>
        <v>796</v>
      </c>
      <c r="BL17" s="1058">
        <v>2022</v>
      </c>
      <c r="BM17" s="1085"/>
      <c r="BN17" s="1086"/>
      <c r="BO17" s="1085"/>
      <c r="BP17" s="1085"/>
      <c r="BQ17" s="1085">
        <v>2247</v>
      </c>
      <c r="BR17" s="1085"/>
      <c r="BS17" s="1171">
        <f t="shared" si="7"/>
        <v>2247</v>
      </c>
      <c r="BU17" s="1058">
        <v>2022</v>
      </c>
      <c r="BV17" s="1085"/>
      <c r="BW17" s="1086"/>
      <c r="BX17" s="1085"/>
      <c r="BY17" s="1085"/>
      <c r="BZ17" s="1085">
        <v>3242</v>
      </c>
      <c r="CA17" s="1085"/>
      <c r="CB17" s="1171">
        <f t="shared" si="8"/>
        <v>3242</v>
      </c>
      <c r="CD17" s="1058">
        <v>2023</v>
      </c>
      <c r="CE17" s="1085"/>
      <c r="CF17" s="1086"/>
      <c r="CG17" s="1085"/>
      <c r="CH17" s="1085"/>
      <c r="CI17" s="1085">
        <v>0</v>
      </c>
      <c r="CJ17" s="1085"/>
      <c r="CK17" s="1171">
        <f t="shared" si="9"/>
        <v>0</v>
      </c>
      <c r="CM17" s="1058">
        <v>2023</v>
      </c>
      <c r="CN17" s="1085"/>
      <c r="CO17" s="1061"/>
      <c r="CP17" s="1060"/>
      <c r="CQ17" s="1060"/>
      <c r="CR17" s="1060">
        <v>0</v>
      </c>
      <c r="CS17" s="1060"/>
      <c r="CT17" s="1059">
        <f t="shared" si="10"/>
        <v>0</v>
      </c>
      <c r="CV17" s="1058">
        <v>2023</v>
      </c>
      <c r="CW17" s="1085"/>
      <c r="CX17" s="1061"/>
      <c r="CY17" s="1060"/>
      <c r="CZ17" s="1060"/>
      <c r="DA17" s="1060">
        <v>0</v>
      </c>
      <c r="DB17" s="1060"/>
      <c r="DC17" s="1059">
        <f t="shared" si="11"/>
        <v>0</v>
      </c>
      <c r="DE17" s="1058">
        <v>2023</v>
      </c>
      <c r="DF17" s="1085"/>
      <c r="DG17" s="1061"/>
      <c r="DH17" s="1060"/>
      <c r="DI17" s="1060"/>
      <c r="DJ17" s="1060">
        <v>2395</v>
      </c>
      <c r="DK17" s="1060"/>
      <c r="DL17" s="1059">
        <f t="shared" si="12"/>
        <v>2395</v>
      </c>
      <c r="DN17" s="1058">
        <v>2024</v>
      </c>
      <c r="DO17" s="1085"/>
      <c r="DP17" s="1061"/>
      <c r="DQ17" s="1060"/>
      <c r="DR17" s="1060"/>
      <c r="DS17" s="1060">
        <v>0</v>
      </c>
      <c r="DT17" s="1060"/>
      <c r="DU17" s="1059">
        <f t="shared" si="13"/>
        <v>0</v>
      </c>
      <c r="DW17" s="1058">
        <v>2024</v>
      </c>
      <c r="DX17" s="1085"/>
      <c r="DY17" s="1061"/>
      <c r="DZ17" s="1060"/>
      <c r="EA17" s="1060"/>
      <c r="EB17" s="1060">
        <v>1400</v>
      </c>
      <c r="EC17" s="1060"/>
      <c r="ED17" s="1059">
        <f t="shared" si="14"/>
        <v>1400</v>
      </c>
      <c r="EF17" s="1058">
        <v>2024</v>
      </c>
      <c r="EG17" s="1085"/>
      <c r="EH17" s="1061"/>
      <c r="EI17" s="1060"/>
      <c r="EJ17" s="1060"/>
      <c r="EK17" s="1060">
        <v>3200</v>
      </c>
      <c r="EL17" s="1060"/>
      <c r="EM17" s="1059">
        <f t="shared" si="15"/>
        <v>3200</v>
      </c>
      <c r="EO17" s="1058">
        <v>2024</v>
      </c>
      <c r="EP17" s="1085"/>
      <c r="EQ17" s="1061"/>
      <c r="ER17" s="1060"/>
      <c r="ES17" s="1060"/>
      <c r="ET17" s="1060">
        <v>5383</v>
      </c>
      <c r="EU17" s="1060"/>
      <c r="EV17" s="1059">
        <f t="shared" si="16"/>
        <v>5383</v>
      </c>
      <c r="EX17" s="1058" t="s">
        <v>859</v>
      </c>
      <c r="EY17" s="1085"/>
      <c r="EZ17" s="1061"/>
      <c r="FA17" s="1060"/>
      <c r="FB17" s="1060"/>
      <c r="FC17" s="1060">
        <v>2183</v>
      </c>
      <c r="FD17" s="1060"/>
      <c r="FE17" s="1059">
        <f t="shared" si="17"/>
        <v>2183</v>
      </c>
      <c r="FG17" s="1058" t="s">
        <v>859</v>
      </c>
      <c r="FH17" s="1085"/>
      <c r="FI17" s="1061"/>
      <c r="FJ17" s="1060"/>
      <c r="FK17" s="1060"/>
      <c r="FL17" s="1060">
        <v>3583</v>
      </c>
      <c r="FM17" s="1060"/>
      <c r="FN17" s="1059">
        <f t="shared" si="18"/>
        <v>3583</v>
      </c>
      <c r="FP17" s="1058" t="s">
        <v>858</v>
      </c>
      <c r="FQ17" s="1085"/>
      <c r="FR17" s="1061"/>
      <c r="FS17" s="1060"/>
      <c r="FT17" s="1060"/>
      <c r="FU17" s="1061">
        <v>4441</v>
      </c>
      <c r="FV17" s="1061">
        <v>621</v>
      </c>
      <c r="FW17" s="1059">
        <f t="shared" si="19"/>
        <v>5062</v>
      </c>
      <c r="FY17" s="1058" t="s">
        <v>858</v>
      </c>
      <c r="FZ17" s="1085"/>
      <c r="GA17" s="1061"/>
      <c r="GB17" s="1060"/>
      <c r="GC17" s="1060"/>
      <c r="GD17" s="1061">
        <v>6041</v>
      </c>
      <c r="GE17" s="1061">
        <v>621</v>
      </c>
      <c r="GF17" s="1059">
        <f t="shared" si="20"/>
        <v>6662</v>
      </c>
      <c r="GH17" s="1058" t="s">
        <v>858</v>
      </c>
      <c r="GI17" s="1085"/>
      <c r="GJ17" s="1061"/>
      <c r="GK17" s="1060"/>
      <c r="GL17" s="1060"/>
      <c r="GM17" s="1061">
        <v>6041</v>
      </c>
      <c r="GN17" s="1061">
        <v>621</v>
      </c>
      <c r="GO17" s="1059">
        <f t="shared" si="21"/>
        <v>6662</v>
      </c>
      <c r="GQ17" s="1058" t="s">
        <v>858</v>
      </c>
      <c r="GR17" s="1085"/>
      <c r="GS17" s="1061"/>
      <c r="GT17" s="1060"/>
      <c r="GU17" s="1060"/>
      <c r="GV17" s="1061">
        <f>6041+1500</f>
        <v>7541</v>
      </c>
      <c r="GW17" s="1061">
        <v>621</v>
      </c>
      <c r="GX17" s="1059">
        <f t="shared" si="22"/>
        <v>8162</v>
      </c>
      <c r="GZ17" s="1058" t="s">
        <v>466</v>
      </c>
      <c r="HA17" s="1086"/>
      <c r="HB17" s="1061"/>
      <c r="HC17" s="1060"/>
      <c r="HD17" s="1060"/>
      <c r="HE17" s="1061">
        <v>2493</v>
      </c>
      <c r="HF17" s="1061">
        <v>1000</v>
      </c>
      <c r="HG17" s="1059">
        <f t="shared" si="23"/>
        <v>3493</v>
      </c>
      <c r="HI17" s="1058" t="s">
        <v>466</v>
      </c>
      <c r="HJ17" s="1086"/>
      <c r="HK17" s="1061"/>
      <c r="HL17" s="1060"/>
      <c r="HM17" s="1060"/>
      <c r="HN17" s="1061">
        <f>2493+1400</f>
        <v>3893</v>
      </c>
      <c r="HO17" s="1061">
        <v>1000</v>
      </c>
      <c r="HP17" s="1059">
        <f t="shared" si="24"/>
        <v>4893</v>
      </c>
      <c r="HR17" s="1058" t="s">
        <v>466</v>
      </c>
      <c r="HS17" s="1086"/>
      <c r="HT17" s="1061"/>
      <c r="HU17" s="1060"/>
      <c r="HV17" s="1060"/>
      <c r="HW17" s="1061">
        <f>2493+1400+1400</f>
        <v>5293</v>
      </c>
      <c r="HX17" s="1061">
        <v>1000</v>
      </c>
      <c r="HY17" s="1059">
        <f t="shared" si="25"/>
        <v>6293</v>
      </c>
      <c r="IA17" s="1058" t="s">
        <v>466</v>
      </c>
      <c r="IB17" s="1086"/>
      <c r="IC17" s="1061"/>
      <c r="ID17" s="1060"/>
      <c r="IE17" s="1060"/>
      <c r="IF17" s="1061">
        <f>2493+1400+1400+2000</f>
        <v>7293</v>
      </c>
      <c r="IG17" s="1061">
        <v>1000</v>
      </c>
      <c r="IH17" s="1059">
        <f t="shared" si="26"/>
        <v>8293</v>
      </c>
      <c r="IJ17" s="1058" t="s">
        <v>465</v>
      </c>
      <c r="IK17" s="1085"/>
      <c r="IL17" s="1061"/>
      <c r="IM17" s="1060"/>
      <c r="IN17" s="1060"/>
      <c r="IO17" s="1061">
        <v>4328</v>
      </c>
      <c r="IP17" s="1061">
        <v>1796</v>
      </c>
      <c r="IQ17" s="1059">
        <f t="shared" si="27"/>
        <v>6124</v>
      </c>
    </row>
    <row r="18" spans="2:251" ht="15.5" hidden="1" x14ac:dyDescent="0.35">
      <c r="B18" s="1161">
        <v>2021</v>
      </c>
      <c r="C18" s="1160"/>
      <c r="D18" s="1161"/>
      <c r="E18" s="1160"/>
      <c r="F18" s="1160"/>
      <c r="G18" s="1165">
        <v>1129</v>
      </c>
      <c r="H18" s="1165"/>
      <c r="I18" s="1167">
        <f t="shared" si="0"/>
        <v>1129</v>
      </c>
      <c r="J18" s="1162"/>
      <c r="K18" s="1161">
        <v>2022</v>
      </c>
      <c r="L18" s="1160"/>
      <c r="M18" s="1161"/>
      <c r="N18" s="1160"/>
      <c r="O18" s="1160"/>
      <c r="P18" s="1165">
        <v>796</v>
      </c>
      <c r="Q18" s="1165"/>
      <c r="R18" s="1167">
        <f t="shared" si="1"/>
        <v>796</v>
      </c>
      <c r="T18" s="1161">
        <v>2022</v>
      </c>
      <c r="U18" s="1160"/>
      <c r="V18" s="1161"/>
      <c r="W18" s="1160"/>
      <c r="X18" s="1160"/>
      <c r="Y18" s="1165">
        <v>796</v>
      </c>
      <c r="Z18" s="1165"/>
      <c r="AA18" s="1167">
        <f t="shared" si="2"/>
        <v>796</v>
      </c>
      <c r="AC18" s="1161">
        <v>2022</v>
      </c>
      <c r="AD18" s="1160"/>
      <c r="AE18" s="1161"/>
      <c r="AF18" s="1160"/>
      <c r="AG18" s="1160"/>
      <c r="AH18" s="1165">
        <v>796</v>
      </c>
      <c r="AI18" s="1165"/>
      <c r="AJ18" s="1167">
        <f t="shared" si="3"/>
        <v>796</v>
      </c>
      <c r="AL18" s="1161">
        <v>2022</v>
      </c>
      <c r="AM18" s="1160"/>
      <c r="AN18" s="1161"/>
      <c r="AO18" s="1160"/>
      <c r="AP18" s="1160"/>
      <c r="AQ18" s="1165">
        <v>796</v>
      </c>
      <c r="AR18" s="1165"/>
      <c r="AS18" s="1167">
        <f t="shared" si="4"/>
        <v>796</v>
      </c>
      <c r="AU18" s="1161">
        <v>2023</v>
      </c>
      <c r="AV18" s="1160"/>
      <c r="AW18" s="1161"/>
      <c r="AX18" s="1160"/>
      <c r="AY18" s="1160"/>
      <c r="AZ18" s="1165">
        <v>0</v>
      </c>
      <c r="BA18" s="1165"/>
      <c r="BB18" s="1167">
        <f t="shared" si="5"/>
        <v>0</v>
      </c>
      <c r="BD18" s="1161">
        <v>2023</v>
      </c>
      <c r="BE18" s="1168"/>
      <c r="BF18" s="1169"/>
      <c r="BG18" s="1168"/>
      <c r="BH18" s="1168"/>
      <c r="BI18" s="1168">
        <v>0</v>
      </c>
      <c r="BJ18" s="1168"/>
      <c r="BK18" s="1170">
        <f t="shared" si="6"/>
        <v>0</v>
      </c>
      <c r="BL18" s="1058">
        <v>2023</v>
      </c>
      <c r="BM18" s="1085"/>
      <c r="BN18" s="1086"/>
      <c r="BO18" s="1085"/>
      <c r="BP18" s="1085"/>
      <c r="BQ18" s="1085">
        <v>0</v>
      </c>
      <c r="BR18" s="1085"/>
      <c r="BS18" s="1171">
        <f t="shared" si="7"/>
        <v>0</v>
      </c>
      <c r="BU18" s="1058">
        <v>2023</v>
      </c>
      <c r="BV18" s="1085"/>
      <c r="BW18" s="1086"/>
      <c r="BX18" s="1085"/>
      <c r="BY18" s="1085"/>
      <c r="BZ18" s="1085">
        <v>0</v>
      </c>
      <c r="CA18" s="1085"/>
      <c r="CB18" s="1171">
        <f t="shared" si="8"/>
        <v>0</v>
      </c>
      <c r="CD18" s="1058">
        <v>2024</v>
      </c>
      <c r="CE18" s="1085"/>
      <c r="CF18" s="1086"/>
      <c r="CG18" s="1085"/>
      <c r="CH18" s="1085"/>
      <c r="CI18" s="1085">
        <v>0</v>
      </c>
      <c r="CJ18" s="1085"/>
      <c r="CK18" s="1171">
        <f t="shared" si="9"/>
        <v>0</v>
      </c>
      <c r="CM18" s="1058">
        <v>2024</v>
      </c>
      <c r="CN18" s="1085"/>
      <c r="CO18" s="1061"/>
      <c r="CP18" s="1060"/>
      <c r="CQ18" s="1060"/>
      <c r="CR18" s="1060">
        <v>0</v>
      </c>
      <c r="CS18" s="1060"/>
      <c r="CT18" s="1059">
        <f t="shared" si="10"/>
        <v>0</v>
      </c>
      <c r="CV18" s="1058">
        <v>2024</v>
      </c>
      <c r="CW18" s="1085"/>
      <c r="CX18" s="1061"/>
      <c r="CY18" s="1060"/>
      <c r="CZ18" s="1060"/>
      <c r="DA18" s="1060">
        <v>0</v>
      </c>
      <c r="DB18" s="1060"/>
      <c r="DC18" s="1059">
        <f t="shared" si="11"/>
        <v>0</v>
      </c>
      <c r="DE18" s="1058">
        <v>2024</v>
      </c>
      <c r="DF18" s="1085"/>
      <c r="DG18" s="1061"/>
      <c r="DH18" s="1060"/>
      <c r="DI18" s="1060"/>
      <c r="DJ18" s="1060">
        <v>0</v>
      </c>
      <c r="DK18" s="1060"/>
      <c r="DL18" s="1059">
        <f t="shared" si="12"/>
        <v>0</v>
      </c>
      <c r="DN18" s="1058">
        <v>2025</v>
      </c>
      <c r="DO18" s="1085"/>
      <c r="DP18" s="1061"/>
      <c r="DQ18" s="1060"/>
      <c r="DR18" s="1060"/>
      <c r="DS18" s="1060">
        <f>5062-621</f>
        <v>4441</v>
      </c>
      <c r="DT18" s="1060">
        <v>621</v>
      </c>
      <c r="DU18" s="1059">
        <f t="shared" si="13"/>
        <v>5062</v>
      </c>
      <c r="DW18" s="1058">
        <v>2025</v>
      </c>
      <c r="DX18" s="1085"/>
      <c r="DY18" s="1061"/>
      <c r="DZ18" s="1060"/>
      <c r="EA18" s="1060"/>
      <c r="EB18" s="1060">
        <f>5062-621</f>
        <v>4441</v>
      </c>
      <c r="EC18" s="1060">
        <v>621</v>
      </c>
      <c r="ED18" s="1059">
        <f t="shared" si="14"/>
        <v>5062</v>
      </c>
      <c r="EF18" s="1058">
        <v>2025</v>
      </c>
      <c r="EG18" s="1085"/>
      <c r="EH18" s="1061"/>
      <c r="EI18" s="1060"/>
      <c r="EJ18" s="1060"/>
      <c r="EK18" s="1060">
        <f>5062-621</f>
        <v>4441</v>
      </c>
      <c r="EL18" s="1060">
        <v>621</v>
      </c>
      <c r="EM18" s="1059">
        <f t="shared" si="15"/>
        <v>5062</v>
      </c>
      <c r="EO18" s="1058">
        <v>2025</v>
      </c>
      <c r="EP18" s="1085"/>
      <c r="EQ18" s="1061"/>
      <c r="ER18" s="1060"/>
      <c r="ES18" s="1060"/>
      <c r="ET18" s="1060">
        <v>4441</v>
      </c>
      <c r="EU18" s="1060">
        <v>621</v>
      </c>
      <c r="EV18" s="1059">
        <f t="shared" si="16"/>
        <v>5062</v>
      </c>
      <c r="EX18" s="1058" t="s">
        <v>858</v>
      </c>
      <c r="EY18" s="1085"/>
      <c r="EZ18" s="1061"/>
      <c r="FA18" s="1060"/>
      <c r="FB18" s="1060"/>
      <c r="FC18" s="1061">
        <v>4441</v>
      </c>
      <c r="FD18" s="1061">
        <v>621</v>
      </c>
      <c r="FE18" s="1059">
        <f t="shared" si="17"/>
        <v>5062</v>
      </c>
      <c r="FG18" s="1058" t="s">
        <v>858</v>
      </c>
      <c r="FH18" s="1085"/>
      <c r="FI18" s="1061"/>
      <c r="FJ18" s="1060"/>
      <c r="FK18" s="1060"/>
      <c r="FL18" s="1061">
        <v>4441</v>
      </c>
      <c r="FM18" s="1061">
        <v>621</v>
      </c>
      <c r="FN18" s="1059">
        <f t="shared" si="18"/>
        <v>5062</v>
      </c>
      <c r="FP18" s="1058" t="s">
        <v>466</v>
      </c>
      <c r="FQ18" s="1085"/>
      <c r="FR18" s="1061"/>
      <c r="FS18" s="1060"/>
      <c r="FT18" s="1060"/>
      <c r="FU18" s="1061">
        <v>2493</v>
      </c>
      <c r="FV18" s="1061">
        <v>1000</v>
      </c>
      <c r="FW18" s="1059">
        <f t="shared" si="19"/>
        <v>3493</v>
      </c>
      <c r="FY18" s="1058" t="s">
        <v>466</v>
      </c>
      <c r="FZ18" s="1085"/>
      <c r="GA18" s="1061"/>
      <c r="GB18" s="1060"/>
      <c r="GC18" s="1060"/>
      <c r="GD18" s="1061">
        <v>2493</v>
      </c>
      <c r="GE18" s="1061">
        <v>1000</v>
      </c>
      <c r="GF18" s="1059">
        <f t="shared" si="20"/>
        <v>3493</v>
      </c>
      <c r="GH18" s="1058" t="s">
        <v>466</v>
      </c>
      <c r="GI18" s="1085"/>
      <c r="GJ18" s="1061"/>
      <c r="GK18" s="1060"/>
      <c r="GL18" s="1060"/>
      <c r="GM18" s="1061">
        <v>2493</v>
      </c>
      <c r="GN18" s="1061">
        <v>1000</v>
      </c>
      <c r="GO18" s="1059">
        <f t="shared" si="21"/>
        <v>3493</v>
      </c>
      <c r="GQ18" s="1058" t="s">
        <v>466</v>
      </c>
      <c r="GR18" s="1086"/>
      <c r="GS18" s="1061"/>
      <c r="GT18" s="1060"/>
      <c r="GU18" s="1060"/>
      <c r="GV18" s="1061">
        <v>2493</v>
      </c>
      <c r="GW18" s="1061">
        <v>1000</v>
      </c>
      <c r="GX18" s="1059">
        <f t="shared" si="22"/>
        <v>3493</v>
      </c>
      <c r="GZ18" s="1058" t="s">
        <v>465</v>
      </c>
      <c r="HA18" s="1086"/>
      <c r="HB18" s="1061"/>
      <c r="HC18" s="1060"/>
      <c r="HD18" s="1060"/>
      <c r="HE18" s="1061">
        <v>4328</v>
      </c>
      <c r="HF18" s="1061">
        <v>1796</v>
      </c>
      <c r="HG18" s="1059">
        <f t="shared" si="23"/>
        <v>6124</v>
      </c>
      <c r="HI18" s="1058" t="s">
        <v>465</v>
      </c>
      <c r="HJ18" s="1085"/>
      <c r="HK18" s="1061"/>
      <c r="HL18" s="1060"/>
      <c r="HM18" s="1060"/>
      <c r="HN18" s="1061">
        <v>4328</v>
      </c>
      <c r="HO18" s="1061">
        <v>1796</v>
      </c>
      <c r="HP18" s="1059">
        <f t="shared" si="24"/>
        <v>6124</v>
      </c>
      <c r="HR18" s="1058" t="s">
        <v>465</v>
      </c>
      <c r="HS18" s="1085"/>
      <c r="HT18" s="1061"/>
      <c r="HU18" s="1060"/>
      <c r="HV18" s="1060"/>
      <c r="HW18" s="1061">
        <v>4328</v>
      </c>
      <c r="HX18" s="1061">
        <v>1796</v>
      </c>
      <c r="HY18" s="1059">
        <f t="shared" si="25"/>
        <v>6124</v>
      </c>
      <c r="IA18" s="1058" t="s">
        <v>465</v>
      </c>
      <c r="IB18" s="1085"/>
      <c r="IC18" s="1061"/>
      <c r="ID18" s="1060"/>
      <c r="IE18" s="1060"/>
      <c r="IF18" s="1061">
        <v>4328</v>
      </c>
      <c r="IG18" s="1061">
        <v>1796</v>
      </c>
      <c r="IH18" s="1059">
        <f t="shared" si="26"/>
        <v>6124</v>
      </c>
      <c r="IJ18" s="1058" t="s">
        <v>464</v>
      </c>
      <c r="IK18" s="1085"/>
      <c r="IL18" s="1061"/>
      <c r="IM18" s="1060"/>
      <c r="IN18" s="1060"/>
      <c r="IO18" s="1060">
        <v>3596</v>
      </c>
      <c r="IP18" s="1060"/>
      <c r="IQ18" s="1059">
        <f t="shared" si="27"/>
        <v>3596</v>
      </c>
    </row>
    <row r="19" spans="2:251" ht="15.5" hidden="1" x14ac:dyDescent="0.35">
      <c r="B19" s="1161">
        <v>2022</v>
      </c>
      <c r="C19" s="1160"/>
      <c r="D19" s="1161"/>
      <c r="E19" s="1160"/>
      <c r="F19" s="1160"/>
      <c r="G19" s="1165">
        <v>796</v>
      </c>
      <c r="H19" s="1165"/>
      <c r="I19" s="1167">
        <f t="shared" si="0"/>
        <v>796</v>
      </c>
      <c r="J19" s="1162"/>
      <c r="K19" s="1161">
        <v>2023</v>
      </c>
      <c r="L19" s="1160"/>
      <c r="M19" s="1161"/>
      <c r="N19" s="1160"/>
      <c r="O19" s="1160"/>
      <c r="P19" s="1165">
        <v>0</v>
      </c>
      <c r="Q19" s="1165"/>
      <c r="R19" s="1167">
        <f t="shared" si="1"/>
        <v>0</v>
      </c>
      <c r="T19" s="1161">
        <v>2023</v>
      </c>
      <c r="U19" s="1160"/>
      <c r="V19" s="1161"/>
      <c r="W19" s="1160"/>
      <c r="X19" s="1160"/>
      <c r="Y19" s="1165">
        <v>0</v>
      </c>
      <c r="Z19" s="1165"/>
      <c r="AA19" s="1167">
        <f t="shared" si="2"/>
        <v>0</v>
      </c>
      <c r="AC19" s="1161">
        <v>2023</v>
      </c>
      <c r="AD19" s="1160"/>
      <c r="AE19" s="1161"/>
      <c r="AF19" s="1160"/>
      <c r="AG19" s="1160"/>
      <c r="AH19" s="1165">
        <v>0</v>
      </c>
      <c r="AI19" s="1165"/>
      <c r="AJ19" s="1167">
        <f t="shared" si="3"/>
        <v>0</v>
      </c>
      <c r="AL19" s="1161">
        <v>2023</v>
      </c>
      <c r="AM19" s="1160"/>
      <c r="AN19" s="1161"/>
      <c r="AO19" s="1160"/>
      <c r="AP19" s="1160"/>
      <c r="AQ19" s="1165">
        <v>0</v>
      </c>
      <c r="AR19" s="1165"/>
      <c r="AS19" s="1167">
        <f t="shared" si="4"/>
        <v>0</v>
      </c>
      <c r="AU19" s="1161">
        <v>2024</v>
      </c>
      <c r="AV19" s="1160"/>
      <c r="AW19" s="1161"/>
      <c r="AX19" s="1160"/>
      <c r="AY19" s="1160"/>
      <c r="AZ19" s="1165">
        <v>0</v>
      </c>
      <c r="BA19" s="1165"/>
      <c r="BB19" s="1167">
        <f t="shared" si="5"/>
        <v>0</v>
      </c>
      <c r="BD19" s="1161">
        <v>2024</v>
      </c>
      <c r="BE19" s="1168"/>
      <c r="BF19" s="1169"/>
      <c r="BG19" s="1168"/>
      <c r="BH19" s="1168"/>
      <c r="BI19" s="1168">
        <v>0</v>
      </c>
      <c r="BJ19" s="1168"/>
      <c r="BK19" s="1170">
        <f t="shared" si="6"/>
        <v>0</v>
      </c>
      <c r="BL19" s="1058">
        <v>2024</v>
      </c>
      <c r="BM19" s="1085"/>
      <c r="BN19" s="1086"/>
      <c r="BO19" s="1085"/>
      <c r="BP19" s="1085"/>
      <c r="BQ19" s="1085">
        <v>0</v>
      </c>
      <c r="BR19" s="1085"/>
      <c r="BS19" s="1171">
        <f t="shared" si="7"/>
        <v>0</v>
      </c>
      <c r="BU19" s="1058">
        <v>2024</v>
      </c>
      <c r="BV19" s="1085"/>
      <c r="BW19" s="1086"/>
      <c r="BX19" s="1085"/>
      <c r="BY19" s="1085"/>
      <c r="BZ19" s="1085">
        <v>0</v>
      </c>
      <c r="CA19" s="1085"/>
      <c r="CB19" s="1171">
        <f t="shared" si="8"/>
        <v>0</v>
      </c>
      <c r="CD19" s="1058">
        <v>2025</v>
      </c>
      <c r="CE19" s="1085"/>
      <c r="CF19" s="1086"/>
      <c r="CG19" s="1085"/>
      <c r="CH19" s="1085"/>
      <c r="CI19" s="1085">
        <f>5062-621</f>
        <v>4441</v>
      </c>
      <c r="CJ19" s="1085">
        <v>621</v>
      </c>
      <c r="CK19" s="1171">
        <f t="shared" si="9"/>
        <v>5062</v>
      </c>
      <c r="CM19" s="1058">
        <v>2025</v>
      </c>
      <c r="CN19" s="1085"/>
      <c r="CO19" s="1061"/>
      <c r="CP19" s="1060"/>
      <c r="CQ19" s="1060"/>
      <c r="CR19" s="1060">
        <f>5062-621</f>
        <v>4441</v>
      </c>
      <c r="CS19" s="1060">
        <v>621</v>
      </c>
      <c r="CT19" s="1059">
        <f t="shared" si="10"/>
        <v>5062</v>
      </c>
      <c r="CV19" s="1058">
        <v>2025</v>
      </c>
      <c r="CW19" s="1085"/>
      <c r="CX19" s="1061"/>
      <c r="CY19" s="1060"/>
      <c r="CZ19" s="1060"/>
      <c r="DA19" s="1060">
        <f>5062-621</f>
        <v>4441</v>
      </c>
      <c r="DB19" s="1060">
        <v>621</v>
      </c>
      <c r="DC19" s="1059">
        <f t="shared" si="11"/>
        <v>5062</v>
      </c>
      <c r="DE19" s="1058">
        <v>2025</v>
      </c>
      <c r="DF19" s="1085"/>
      <c r="DG19" s="1061"/>
      <c r="DH19" s="1060"/>
      <c r="DI19" s="1060"/>
      <c r="DJ19" s="1060">
        <f>5062-621</f>
        <v>4441</v>
      </c>
      <c r="DK19" s="1060">
        <v>621</v>
      </c>
      <c r="DL19" s="1059">
        <f t="shared" si="12"/>
        <v>5062</v>
      </c>
      <c r="DN19" s="1058">
        <v>2026</v>
      </c>
      <c r="DO19" s="1085"/>
      <c r="DP19" s="1061"/>
      <c r="DQ19" s="1060"/>
      <c r="DR19" s="1060"/>
      <c r="DS19" s="1061">
        <f>456+1000-1000</f>
        <v>456</v>
      </c>
      <c r="DT19" s="1061">
        <v>1000</v>
      </c>
      <c r="DU19" s="1059">
        <f t="shared" si="13"/>
        <v>1456</v>
      </c>
      <c r="DW19" s="1058">
        <v>2026</v>
      </c>
      <c r="DX19" s="1085"/>
      <c r="DY19" s="1061"/>
      <c r="DZ19" s="1060"/>
      <c r="EA19" s="1060"/>
      <c r="EB19" s="1061">
        <f>456+1000-1000</f>
        <v>456</v>
      </c>
      <c r="EC19" s="1061">
        <v>1000</v>
      </c>
      <c r="ED19" s="1059">
        <f t="shared" si="14"/>
        <v>1456</v>
      </c>
      <c r="EF19" s="1058">
        <v>2026</v>
      </c>
      <c r="EG19" s="1085"/>
      <c r="EH19" s="1061"/>
      <c r="EI19" s="1060"/>
      <c r="EJ19" s="1060"/>
      <c r="EK19" s="1061">
        <f>456+1000-1000</f>
        <v>456</v>
      </c>
      <c r="EL19" s="1061">
        <v>1000</v>
      </c>
      <c r="EM19" s="1059">
        <f t="shared" si="15"/>
        <v>1456</v>
      </c>
      <c r="EO19" s="1058">
        <v>2026</v>
      </c>
      <c r="EP19" s="1085"/>
      <c r="EQ19" s="1061"/>
      <c r="ER19" s="1060"/>
      <c r="ES19" s="1060"/>
      <c r="ET19" s="1061">
        <v>456</v>
      </c>
      <c r="EU19" s="1061">
        <v>1000</v>
      </c>
      <c r="EV19" s="1059">
        <f t="shared" si="16"/>
        <v>1456</v>
      </c>
      <c r="EX19" s="1058" t="s">
        <v>466</v>
      </c>
      <c r="EY19" s="1085"/>
      <c r="EZ19" s="1061"/>
      <c r="FA19" s="1060"/>
      <c r="FB19" s="1060"/>
      <c r="FC19" s="1061">
        <v>2493</v>
      </c>
      <c r="FD19" s="1061">
        <v>1000</v>
      </c>
      <c r="FE19" s="1059">
        <f t="shared" si="17"/>
        <v>3493</v>
      </c>
      <c r="FG19" s="1058" t="s">
        <v>466</v>
      </c>
      <c r="FH19" s="1085"/>
      <c r="FI19" s="1061"/>
      <c r="FJ19" s="1060"/>
      <c r="FK19" s="1060"/>
      <c r="FL19" s="1061">
        <v>2493</v>
      </c>
      <c r="FM19" s="1061">
        <v>1000</v>
      </c>
      <c r="FN19" s="1059">
        <f t="shared" si="18"/>
        <v>3493</v>
      </c>
      <c r="FP19" s="1058" t="s">
        <v>465</v>
      </c>
      <c r="FQ19" s="1085"/>
      <c r="FR19" s="1061"/>
      <c r="FS19" s="1060"/>
      <c r="FT19" s="1060"/>
      <c r="FU19" s="1061">
        <v>4328</v>
      </c>
      <c r="FV19" s="1061">
        <v>1796</v>
      </c>
      <c r="FW19" s="1059">
        <f t="shared" si="19"/>
        <v>6124</v>
      </c>
      <c r="FY19" s="1058" t="s">
        <v>465</v>
      </c>
      <c r="FZ19" s="1085"/>
      <c r="GA19" s="1061"/>
      <c r="GB19" s="1060"/>
      <c r="GC19" s="1060"/>
      <c r="GD19" s="1061">
        <v>4328</v>
      </c>
      <c r="GE19" s="1061">
        <v>1796</v>
      </c>
      <c r="GF19" s="1059">
        <f t="shared" si="20"/>
        <v>6124</v>
      </c>
      <c r="GH19" s="1058" t="s">
        <v>465</v>
      </c>
      <c r="GI19" s="1085"/>
      <c r="GJ19" s="1061"/>
      <c r="GK19" s="1060"/>
      <c r="GL19" s="1060"/>
      <c r="GM19" s="1061">
        <v>4328</v>
      </c>
      <c r="GN19" s="1061">
        <v>1796</v>
      </c>
      <c r="GO19" s="1059">
        <f t="shared" si="21"/>
        <v>6124</v>
      </c>
      <c r="GQ19" s="1058" t="s">
        <v>465</v>
      </c>
      <c r="GR19" s="1086"/>
      <c r="GS19" s="1061"/>
      <c r="GT19" s="1060"/>
      <c r="GU19" s="1060"/>
      <c r="GV19" s="1061">
        <v>4328</v>
      </c>
      <c r="GW19" s="1061">
        <v>1796</v>
      </c>
      <c r="GX19" s="1059">
        <f t="shared" si="22"/>
        <v>6124</v>
      </c>
      <c r="GZ19" s="1058" t="s">
        <v>464</v>
      </c>
      <c r="HA19" s="1086"/>
      <c r="HB19" s="1061"/>
      <c r="HC19" s="1060"/>
      <c r="HD19" s="1060"/>
      <c r="HE19" s="1061">
        <v>3596</v>
      </c>
      <c r="HF19" s="1061"/>
      <c r="HG19" s="1059">
        <f t="shared" si="23"/>
        <v>3596</v>
      </c>
      <c r="HI19" s="1058" t="s">
        <v>464</v>
      </c>
      <c r="HJ19" s="1085"/>
      <c r="HK19" s="1061"/>
      <c r="HL19" s="1060"/>
      <c r="HM19" s="1060"/>
      <c r="HN19" s="1060">
        <v>3596</v>
      </c>
      <c r="HO19" s="1060"/>
      <c r="HP19" s="1059">
        <f t="shared" si="24"/>
        <v>3596</v>
      </c>
      <c r="HR19" s="1058" t="s">
        <v>464</v>
      </c>
      <c r="HS19" s="1085"/>
      <c r="HT19" s="1061"/>
      <c r="HU19" s="1060"/>
      <c r="HV19" s="1060"/>
      <c r="HW19" s="1060">
        <v>3596</v>
      </c>
      <c r="HX19" s="1060"/>
      <c r="HY19" s="1059">
        <f t="shared" si="25"/>
        <v>3596</v>
      </c>
      <c r="IA19" s="1058" t="s">
        <v>464</v>
      </c>
      <c r="IB19" s="1085"/>
      <c r="IC19" s="1061"/>
      <c r="ID19" s="1060"/>
      <c r="IE19" s="1060"/>
      <c r="IF19" s="1060">
        <v>3596</v>
      </c>
      <c r="IG19" s="1060"/>
      <c r="IH19" s="1059">
        <f t="shared" si="26"/>
        <v>3596</v>
      </c>
      <c r="IJ19" s="1058" t="s">
        <v>463</v>
      </c>
      <c r="IK19" s="1085"/>
      <c r="IL19" s="1060"/>
      <c r="IM19" s="1060"/>
      <c r="IN19" s="1060"/>
      <c r="IO19" s="1060">
        <v>5882</v>
      </c>
      <c r="IP19" s="1060">
        <v>2200</v>
      </c>
      <c r="IQ19" s="1059">
        <f t="shared" si="27"/>
        <v>8082</v>
      </c>
    </row>
    <row r="20" spans="2:251" ht="15.5" hidden="1" x14ac:dyDescent="0.35">
      <c r="B20" s="1161">
        <v>2023</v>
      </c>
      <c r="C20" s="1160"/>
      <c r="D20" s="1161"/>
      <c r="E20" s="1160"/>
      <c r="F20" s="1160"/>
      <c r="G20" s="1165">
        <v>0</v>
      </c>
      <c r="H20" s="1165"/>
      <c r="I20" s="1167">
        <f t="shared" si="0"/>
        <v>0</v>
      </c>
      <c r="J20" s="1162"/>
      <c r="K20" s="1161">
        <v>2024</v>
      </c>
      <c r="L20" s="1160"/>
      <c r="M20" s="1161"/>
      <c r="N20" s="1160"/>
      <c r="O20" s="1160"/>
      <c r="P20" s="1165">
        <v>0</v>
      </c>
      <c r="Q20" s="1165"/>
      <c r="R20" s="1167">
        <f t="shared" si="1"/>
        <v>0</v>
      </c>
      <c r="T20" s="1161">
        <v>2024</v>
      </c>
      <c r="U20" s="1160"/>
      <c r="V20" s="1161"/>
      <c r="W20" s="1160"/>
      <c r="X20" s="1160"/>
      <c r="Y20" s="1165">
        <v>0</v>
      </c>
      <c r="Z20" s="1165"/>
      <c r="AA20" s="1167">
        <f t="shared" si="2"/>
        <v>0</v>
      </c>
      <c r="AC20" s="1161">
        <v>2024</v>
      </c>
      <c r="AD20" s="1160"/>
      <c r="AE20" s="1161"/>
      <c r="AF20" s="1160"/>
      <c r="AG20" s="1160"/>
      <c r="AH20" s="1165">
        <v>0</v>
      </c>
      <c r="AI20" s="1165"/>
      <c r="AJ20" s="1167">
        <f t="shared" si="3"/>
        <v>0</v>
      </c>
      <c r="AL20" s="1161">
        <v>2024</v>
      </c>
      <c r="AM20" s="1160"/>
      <c r="AN20" s="1161"/>
      <c r="AO20" s="1160"/>
      <c r="AP20" s="1160"/>
      <c r="AQ20" s="1165">
        <v>0</v>
      </c>
      <c r="AR20" s="1165"/>
      <c r="AS20" s="1167">
        <f t="shared" si="4"/>
        <v>0</v>
      </c>
      <c r="AU20" s="1161">
        <v>2025</v>
      </c>
      <c r="AV20" s="1160"/>
      <c r="AW20" s="1161"/>
      <c r="AX20" s="1160"/>
      <c r="AY20" s="1160"/>
      <c r="AZ20" s="1165">
        <f>5062-621</f>
        <v>4441</v>
      </c>
      <c r="BA20" s="1165">
        <v>621</v>
      </c>
      <c r="BB20" s="1167">
        <f t="shared" si="5"/>
        <v>5062</v>
      </c>
      <c r="BD20" s="1161">
        <v>2025</v>
      </c>
      <c r="BE20" s="1168"/>
      <c r="BF20" s="1169"/>
      <c r="BG20" s="1168"/>
      <c r="BH20" s="1168"/>
      <c r="BI20" s="1168">
        <f>5062-621</f>
        <v>4441</v>
      </c>
      <c r="BJ20" s="1168">
        <v>621</v>
      </c>
      <c r="BK20" s="1170">
        <f t="shared" si="6"/>
        <v>5062</v>
      </c>
      <c r="BL20" s="1058">
        <v>2025</v>
      </c>
      <c r="BM20" s="1085"/>
      <c r="BN20" s="1086"/>
      <c r="BO20" s="1085"/>
      <c r="BP20" s="1085"/>
      <c r="BQ20" s="1085">
        <f>5062-621</f>
        <v>4441</v>
      </c>
      <c r="BR20" s="1085">
        <v>621</v>
      </c>
      <c r="BS20" s="1171">
        <f t="shared" si="7"/>
        <v>5062</v>
      </c>
      <c r="BU20" s="1058">
        <v>2025</v>
      </c>
      <c r="BV20" s="1085"/>
      <c r="BW20" s="1086"/>
      <c r="BX20" s="1085"/>
      <c r="BY20" s="1085"/>
      <c r="BZ20" s="1085">
        <f>5062-621</f>
        <v>4441</v>
      </c>
      <c r="CA20" s="1085">
        <v>621</v>
      </c>
      <c r="CB20" s="1171">
        <f t="shared" si="8"/>
        <v>5062</v>
      </c>
      <c r="CD20" s="1058">
        <v>2026</v>
      </c>
      <c r="CE20" s="1085"/>
      <c r="CF20" s="1086"/>
      <c r="CG20" s="1085"/>
      <c r="CH20" s="1085"/>
      <c r="CI20" s="1086">
        <f>456+1000-1000</f>
        <v>456</v>
      </c>
      <c r="CJ20" s="1086">
        <v>1000</v>
      </c>
      <c r="CK20" s="1171">
        <f t="shared" si="9"/>
        <v>1456</v>
      </c>
      <c r="CM20" s="1058">
        <v>2026</v>
      </c>
      <c r="CN20" s="1085"/>
      <c r="CO20" s="1061"/>
      <c r="CP20" s="1060"/>
      <c r="CQ20" s="1060"/>
      <c r="CR20" s="1061">
        <f>456+1000-1000</f>
        <v>456</v>
      </c>
      <c r="CS20" s="1061">
        <v>1000</v>
      </c>
      <c r="CT20" s="1059">
        <f t="shared" si="10"/>
        <v>1456</v>
      </c>
      <c r="CV20" s="1058">
        <v>2026</v>
      </c>
      <c r="CW20" s="1085"/>
      <c r="CX20" s="1061"/>
      <c r="CY20" s="1060"/>
      <c r="CZ20" s="1060"/>
      <c r="DA20" s="1061">
        <f>456+1000-1000</f>
        <v>456</v>
      </c>
      <c r="DB20" s="1061">
        <v>1000</v>
      </c>
      <c r="DC20" s="1059">
        <f t="shared" si="11"/>
        <v>1456</v>
      </c>
      <c r="DE20" s="1058">
        <v>2026</v>
      </c>
      <c r="DF20" s="1085"/>
      <c r="DG20" s="1061"/>
      <c r="DH20" s="1060"/>
      <c r="DI20" s="1060"/>
      <c r="DJ20" s="1061">
        <f>456+1000-1000</f>
        <v>456</v>
      </c>
      <c r="DK20" s="1061">
        <v>1000</v>
      </c>
      <c r="DL20" s="1059">
        <f t="shared" si="12"/>
        <v>1456</v>
      </c>
      <c r="DN20" s="1058">
        <v>2027</v>
      </c>
      <c r="DO20" s="1085"/>
      <c r="DP20" s="1061"/>
      <c r="DQ20" s="1060"/>
      <c r="DR20" s="1060"/>
      <c r="DS20" s="1061">
        <v>4322</v>
      </c>
      <c r="DT20" s="1061">
        <v>796</v>
      </c>
      <c r="DU20" s="1059">
        <f t="shared" si="13"/>
        <v>5118</v>
      </c>
      <c r="DW20" s="1058">
        <v>2027</v>
      </c>
      <c r="DX20" s="1085"/>
      <c r="DY20" s="1061"/>
      <c r="DZ20" s="1060"/>
      <c r="EA20" s="1060"/>
      <c r="EB20" s="1061">
        <v>4322</v>
      </c>
      <c r="EC20" s="1061">
        <v>796</v>
      </c>
      <c r="ED20" s="1059">
        <f t="shared" si="14"/>
        <v>5118</v>
      </c>
      <c r="EF20" s="1058">
        <v>2027</v>
      </c>
      <c r="EG20" s="1085"/>
      <c r="EH20" s="1061"/>
      <c r="EI20" s="1060"/>
      <c r="EJ20" s="1060"/>
      <c r="EK20" s="1061">
        <v>4322</v>
      </c>
      <c r="EL20" s="1061">
        <v>796</v>
      </c>
      <c r="EM20" s="1059">
        <f t="shared" si="15"/>
        <v>5118</v>
      </c>
      <c r="EO20" s="1058">
        <v>2027</v>
      </c>
      <c r="EP20" s="1085"/>
      <c r="EQ20" s="1061"/>
      <c r="ER20" s="1060"/>
      <c r="ES20" s="1060"/>
      <c r="ET20" s="1061">
        <v>4322</v>
      </c>
      <c r="EU20" s="1061">
        <v>796</v>
      </c>
      <c r="EV20" s="1059">
        <f t="shared" si="16"/>
        <v>5118</v>
      </c>
      <c r="EX20" s="1058" t="s">
        <v>957</v>
      </c>
      <c r="EY20" s="1085"/>
      <c r="EZ20" s="1061"/>
      <c r="FA20" s="1060"/>
      <c r="FB20" s="1060"/>
      <c r="FC20" s="1061">
        <v>4328</v>
      </c>
      <c r="FD20" s="1061">
        <v>1796</v>
      </c>
      <c r="FE20" s="1059">
        <f t="shared" si="17"/>
        <v>6124</v>
      </c>
      <c r="FG20" s="1058" t="s">
        <v>957</v>
      </c>
      <c r="FH20" s="1085"/>
      <c r="FI20" s="1061"/>
      <c r="FJ20" s="1060"/>
      <c r="FK20" s="1060"/>
      <c r="FL20" s="1061">
        <v>4328</v>
      </c>
      <c r="FM20" s="1061">
        <v>1796</v>
      </c>
      <c r="FN20" s="1059">
        <f t="shared" si="18"/>
        <v>6124</v>
      </c>
      <c r="FP20" s="1058" t="s">
        <v>464</v>
      </c>
      <c r="FQ20" s="1085"/>
      <c r="FR20" s="1061"/>
      <c r="FS20" s="1060"/>
      <c r="FT20" s="1060"/>
      <c r="FU20" s="1061">
        <v>3596</v>
      </c>
      <c r="FV20" s="1061" t="s">
        <v>368</v>
      </c>
      <c r="FW20" s="1059">
        <f t="shared" si="19"/>
        <v>3596</v>
      </c>
      <c r="FY20" s="1058" t="s">
        <v>464</v>
      </c>
      <c r="FZ20" s="1085"/>
      <c r="GA20" s="1061"/>
      <c r="GB20" s="1060"/>
      <c r="GC20" s="1060"/>
      <c r="GD20" s="1061">
        <v>3596</v>
      </c>
      <c r="GE20" s="1061"/>
      <c r="GF20" s="1059">
        <f t="shared" si="20"/>
        <v>3596</v>
      </c>
      <c r="GH20" s="1058" t="s">
        <v>464</v>
      </c>
      <c r="GI20" s="1085"/>
      <c r="GJ20" s="1061"/>
      <c r="GK20" s="1060"/>
      <c r="GL20" s="1060"/>
      <c r="GM20" s="1061">
        <v>3596</v>
      </c>
      <c r="GN20" s="1061"/>
      <c r="GO20" s="1059">
        <f t="shared" si="21"/>
        <v>3596</v>
      </c>
      <c r="GQ20" s="1058" t="s">
        <v>464</v>
      </c>
      <c r="GR20" s="1086"/>
      <c r="GS20" s="1061"/>
      <c r="GT20" s="1060"/>
      <c r="GU20" s="1060"/>
      <c r="GV20" s="1061">
        <v>3596</v>
      </c>
      <c r="GW20" s="1061"/>
      <c r="GX20" s="1059">
        <f t="shared" si="22"/>
        <v>3596</v>
      </c>
      <c r="GZ20" s="1058" t="s">
        <v>463</v>
      </c>
      <c r="HA20" s="1086"/>
      <c r="HB20" s="1061"/>
      <c r="HC20" s="1060"/>
      <c r="HD20" s="1060"/>
      <c r="HE20" s="1061">
        <v>5882</v>
      </c>
      <c r="HF20" s="1061">
        <v>2200</v>
      </c>
      <c r="HG20" s="1059">
        <f t="shared" si="23"/>
        <v>8082</v>
      </c>
      <c r="HI20" s="1058" t="s">
        <v>463</v>
      </c>
      <c r="HJ20" s="1085"/>
      <c r="HK20" s="1060"/>
      <c r="HL20" s="1060"/>
      <c r="HM20" s="1060"/>
      <c r="HN20" s="1060">
        <v>5882</v>
      </c>
      <c r="HO20" s="1060">
        <v>2200</v>
      </c>
      <c r="HP20" s="1059">
        <f t="shared" si="24"/>
        <v>8082</v>
      </c>
      <c r="HR20" s="1058" t="s">
        <v>463</v>
      </c>
      <c r="HS20" s="1085"/>
      <c r="HT20" s="1060"/>
      <c r="HU20" s="1060"/>
      <c r="HV20" s="1060"/>
      <c r="HW20" s="1060">
        <v>5882</v>
      </c>
      <c r="HX20" s="1060">
        <v>2200</v>
      </c>
      <c r="HY20" s="1059">
        <f t="shared" si="25"/>
        <v>8082</v>
      </c>
      <c r="IA20" s="1058" t="s">
        <v>463</v>
      </c>
      <c r="IB20" s="1085"/>
      <c r="IC20" s="1060"/>
      <c r="ID20" s="1060"/>
      <c r="IE20" s="1060"/>
      <c r="IF20" s="1060">
        <v>5882</v>
      </c>
      <c r="IG20" s="1060">
        <v>2200</v>
      </c>
      <c r="IH20" s="1059">
        <f t="shared" si="26"/>
        <v>8082</v>
      </c>
      <c r="IJ20" s="1058" t="s">
        <v>462</v>
      </c>
      <c r="IK20" s="1085"/>
      <c r="IL20" s="1060"/>
      <c r="IM20" s="1060"/>
      <c r="IN20" s="1060"/>
      <c r="IO20" s="1060">
        <v>4500</v>
      </c>
      <c r="IP20" s="1060">
        <v>1500</v>
      </c>
      <c r="IQ20" s="1059">
        <f t="shared" si="27"/>
        <v>6000</v>
      </c>
    </row>
    <row r="21" spans="2:251" ht="15.5" hidden="1" x14ac:dyDescent="0.35">
      <c r="B21" s="1161">
        <v>2024</v>
      </c>
      <c r="C21" s="1160"/>
      <c r="D21" s="1161"/>
      <c r="E21" s="1160"/>
      <c r="F21" s="1160"/>
      <c r="G21" s="1165">
        <v>0</v>
      </c>
      <c r="H21" s="1165"/>
      <c r="I21" s="1167">
        <f t="shared" si="0"/>
        <v>0</v>
      </c>
      <c r="J21" s="1162"/>
      <c r="K21" s="1161">
        <v>2025</v>
      </c>
      <c r="L21" s="1160"/>
      <c r="M21" s="1161"/>
      <c r="N21" s="1160"/>
      <c r="O21" s="1160"/>
      <c r="P21" s="1165">
        <f>3513-621</f>
        <v>2892</v>
      </c>
      <c r="Q21" s="1165">
        <v>621</v>
      </c>
      <c r="R21" s="1167">
        <f t="shared" si="1"/>
        <v>3513</v>
      </c>
      <c r="T21" s="1161">
        <v>2025</v>
      </c>
      <c r="U21" s="1160"/>
      <c r="V21" s="1161"/>
      <c r="W21" s="1160"/>
      <c r="X21" s="1160"/>
      <c r="Y21" s="1165">
        <f>3513-621</f>
        <v>2892</v>
      </c>
      <c r="Z21" s="1165">
        <v>621</v>
      </c>
      <c r="AA21" s="1167">
        <f t="shared" si="2"/>
        <v>3513</v>
      </c>
      <c r="AC21" s="1161">
        <v>2025</v>
      </c>
      <c r="AD21" s="1160"/>
      <c r="AE21" s="1161"/>
      <c r="AF21" s="1160"/>
      <c r="AG21" s="1160"/>
      <c r="AH21" s="1165">
        <f>5062-621</f>
        <v>4441</v>
      </c>
      <c r="AI21" s="1165">
        <v>621</v>
      </c>
      <c r="AJ21" s="1167">
        <f t="shared" si="3"/>
        <v>5062</v>
      </c>
      <c r="AL21" s="1161">
        <v>2025</v>
      </c>
      <c r="AM21" s="1160"/>
      <c r="AN21" s="1161"/>
      <c r="AO21" s="1160"/>
      <c r="AP21" s="1160"/>
      <c r="AQ21" s="1165">
        <f>5062-621</f>
        <v>4441</v>
      </c>
      <c r="AR21" s="1165">
        <v>621</v>
      </c>
      <c r="AS21" s="1167">
        <f t="shared" si="4"/>
        <v>5062</v>
      </c>
      <c r="AU21" s="1161">
        <v>2026</v>
      </c>
      <c r="AV21" s="1160"/>
      <c r="AW21" s="1161"/>
      <c r="AX21" s="1160"/>
      <c r="AY21" s="1160"/>
      <c r="AZ21" s="1166">
        <f>456+1000-1000</f>
        <v>456</v>
      </c>
      <c r="BA21" s="1166">
        <v>1000</v>
      </c>
      <c r="BB21" s="1167">
        <f t="shared" si="5"/>
        <v>1456</v>
      </c>
      <c r="BD21" s="1161">
        <v>2026</v>
      </c>
      <c r="BE21" s="1168"/>
      <c r="BF21" s="1169"/>
      <c r="BG21" s="1168"/>
      <c r="BH21" s="1168"/>
      <c r="BI21" s="1169">
        <f>456+1000-1000</f>
        <v>456</v>
      </c>
      <c r="BJ21" s="1169">
        <v>1000</v>
      </c>
      <c r="BK21" s="1170">
        <f t="shared" si="6"/>
        <v>1456</v>
      </c>
      <c r="BL21" s="1058">
        <v>2026</v>
      </c>
      <c r="BM21" s="1085"/>
      <c r="BN21" s="1086"/>
      <c r="BO21" s="1085"/>
      <c r="BP21" s="1085"/>
      <c r="BQ21" s="1086">
        <f>456+1000-1000</f>
        <v>456</v>
      </c>
      <c r="BR21" s="1086">
        <v>1000</v>
      </c>
      <c r="BS21" s="1171">
        <f t="shared" si="7"/>
        <v>1456</v>
      </c>
      <c r="BU21" s="1058">
        <v>2026</v>
      </c>
      <c r="BV21" s="1085"/>
      <c r="BW21" s="1086"/>
      <c r="BX21" s="1085"/>
      <c r="BY21" s="1085"/>
      <c r="BZ21" s="1086">
        <f>456+1000-1000</f>
        <v>456</v>
      </c>
      <c r="CA21" s="1086">
        <v>1000</v>
      </c>
      <c r="CB21" s="1171">
        <f t="shared" si="8"/>
        <v>1456</v>
      </c>
      <c r="CD21" s="1058">
        <v>2027</v>
      </c>
      <c r="CE21" s="1085"/>
      <c r="CF21" s="1086"/>
      <c r="CG21" s="1085"/>
      <c r="CH21" s="1085"/>
      <c r="CI21" s="1086">
        <v>4322</v>
      </c>
      <c r="CJ21" s="1086">
        <v>796</v>
      </c>
      <c r="CK21" s="1171">
        <f t="shared" si="9"/>
        <v>5118</v>
      </c>
      <c r="CM21" s="1058">
        <v>2027</v>
      </c>
      <c r="CN21" s="1085"/>
      <c r="CO21" s="1061"/>
      <c r="CP21" s="1060"/>
      <c r="CQ21" s="1060"/>
      <c r="CR21" s="1061">
        <v>4322</v>
      </c>
      <c r="CS21" s="1061">
        <v>796</v>
      </c>
      <c r="CT21" s="1059">
        <f t="shared" si="10"/>
        <v>5118</v>
      </c>
      <c r="CV21" s="1058">
        <v>2027</v>
      </c>
      <c r="CW21" s="1085"/>
      <c r="CX21" s="1061"/>
      <c r="CY21" s="1060"/>
      <c r="CZ21" s="1060"/>
      <c r="DA21" s="1061">
        <v>4322</v>
      </c>
      <c r="DB21" s="1061">
        <v>796</v>
      </c>
      <c r="DC21" s="1059">
        <f t="shared" si="11"/>
        <v>5118</v>
      </c>
      <c r="DE21" s="1058">
        <v>2027</v>
      </c>
      <c r="DF21" s="1085"/>
      <c r="DG21" s="1061"/>
      <c r="DH21" s="1060"/>
      <c r="DI21" s="1060"/>
      <c r="DJ21" s="1061">
        <v>4322</v>
      </c>
      <c r="DK21" s="1061">
        <v>796</v>
      </c>
      <c r="DL21" s="1059">
        <f t="shared" si="12"/>
        <v>5118</v>
      </c>
      <c r="DN21" s="1058">
        <v>2028</v>
      </c>
      <c r="DO21" s="1085"/>
      <c r="DP21" s="1061"/>
      <c r="DQ21" s="1060"/>
      <c r="DR21" s="1060"/>
      <c r="DS21" s="1061">
        <v>4072</v>
      </c>
      <c r="DT21" s="1061">
        <v>1000</v>
      </c>
      <c r="DU21" s="1059">
        <f t="shared" si="13"/>
        <v>5072</v>
      </c>
      <c r="DW21" s="1058">
        <v>2028</v>
      </c>
      <c r="DX21" s="1085"/>
      <c r="DY21" s="1061"/>
      <c r="DZ21" s="1060"/>
      <c r="EA21" s="1060"/>
      <c r="EB21" s="1061">
        <v>4072</v>
      </c>
      <c r="EC21" s="1061">
        <v>1000</v>
      </c>
      <c r="ED21" s="1059">
        <f t="shared" si="14"/>
        <v>5072</v>
      </c>
      <c r="EF21" s="1058">
        <v>2028</v>
      </c>
      <c r="EG21" s="1085"/>
      <c r="EH21" s="1061"/>
      <c r="EI21" s="1060"/>
      <c r="EJ21" s="1060"/>
      <c r="EK21" s="1061">
        <v>4072</v>
      </c>
      <c r="EL21" s="1061">
        <v>1000</v>
      </c>
      <c r="EM21" s="1059">
        <f t="shared" si="15"/>
        <v>5072</v>
      </c>
      <c r="EO21" s="1058">
        <v>2028</v>
      </c>
      <c r="EP21" s="1085"/>
      <c r="EQ21" s="1061"/>
      <c r="ER21" s="1060"/>
      <c r="ES21" s="1060"/>
      <c r="ET21" s="1061">
        <v>4072</v>
      </c>
      <c r="EU21" s="1061">
        <v>1000</v>
      </c>
      <c r="EV21" s="1059">
        <f t="shared" si="16"/>
        <v>5072</v>
      </c>
      <c r="EX21" s="1058" t="s">
        <v>464</v>
      </c>
      <c r="EY21" s="1085"/>
      <c r="EZ21" s="1061"/>
      <c r="FA21" s="1060"/>
      <c r="FB21" s="1060"/>
      <c r="FC21" s="1061">
        <v>3596</v>
      </c>
      <c r="FD21" s="1061" t="s">
        <v>368</v>
      </c>
      <c r="FE21" s="1059">
        <f t="shared" si="17"/>
        <v>3596</v>
      </c>
      <c r="FG21" s="1058" t="s">
        <v>464</v>
      </c>
      <c r="FH21" s="1085"/>
      <c r="FI21" s="1061"/>
      <c r="FJ21" s="1060"/>
      <c r="FK21" s="1060"/>
      <c r="FL21" s="1061">
        <v>3596</v>
      </c>
      <c r="FM21" s="1061" t="s">
        <v>368</v>
      </c>
      <c r="FN21" s="1059">
        <f t="shared" si="18"/>
        <v>3596</v>
      </c>
      <c r="FP21" s="1058" t="s">
        <v>463</v>
      </c>
      <c r="FQ21" s="1085"/>
      <c r="FR21" s="1061"/>
      <c r="FS21" s="1060"/>
      <c r="FT21" s="1060"/>
      <c r="FU21" s="1061">
        <f>4082+1800</f>
        <v>5882</v>
      </c>
      <c r="FV21" s="1061">
        <f>1000+1200</f>
        <v>2200</v>
      </c>
      <c r="FW21" s="1059">
        <f t="shared" si="19"/>
        <v>8082</v>
      </c>
      <c r="FY21" s="1058" t="s">
        <v>463</v>
      </c>
      <c r="FZ21" s="1085"/>
      <c r="GA21" s="1061"/>
      <c r="GB21" s="1060"/>
      <c r="GC21" s="1060"/>
      <c r="GD21" s="1061">
        <v>5882</v>
      </c>
      <c r="GE21" s="1061">
        <v>2200</v>
      </c>
      <c r="GF21" s="1059">
        <f t="shared" si="20"/>
        <v>8082</v>
      </c>
      <c r="GH21" s="1058" t="s">
        <v>463</v>
      </c>
      <c r="GI21" s="1085"/>
      <c r="GJ21" s="1061"/>
      <c r="GK21" s="1060"/>
      <c r="GL21" s="1060"/>
      <c r="GM21" s="1061">
        <v>5882</v>
      </c>
      <c r="GN21" s="1061">
        <v>2200</v>
      </c>
      <c r="GO21" s="1059">
        <f t="shared" si="21"/>
        <v>8082</v>
      </c>
      <c r="GQ21" s="1058" t="s">
        <v>463</v>
      </c>
      <c r="GR21" s="1086"/>
      <c r="GS21" s="1061"/>
      <c r="GT21" s="1060"/>
      <c r="GU21" s="1060"/>
      <c r="GV21" s="1061">
        <v>5882</v>
      </c>
      <c r="GW21" s="1061">
        <v>2200</v>
      </c>
      <c r="GX21" s="1059">
        <f t="shared" si="22"/>
        <v>8082</v>
      </c>
      <c r="GZ21" s="1058" t="s">
        <v>462</v>
      </c>
      <c r="HA21" s="1086"/>
      <c r="HB21" s="1061"/>
      <c r="HC21" s="1060"/>
      <c r="HD21" s="1060"/>
      <c r="HE21" s="1061">
        <v>4500</v>
      </c>
      <c r="HF21" s="1061">
        <v>1500</v>
      </c>
      <c r="HG21" s="1059">
        <f t="shared" si="23"/>
        <v>6000</v>
      </c>
      <c r="HI21" s="1058" t="s">
        <v>462</v>
      </c>
      <c r="HJ21" s="1085"/>
      <c r="HK21" s="1060"/>
      <c r="HL21" s="1060"/>
      <c r="HM21" s="1060"/>
      <c r="HN21" s="1060">
        <v>4500</v>
      </c>
      <c r="HO21" s="1060">
        <v>1500</v>
      </c>
      <c r="HP21" s="1059">
        <f t="shared" si="24"/>
        <v>6000</v>
      </c>
      <c r="HR21" s="1058" t="s">
        <v>462</v>
      </c>
      <c r="HS21" s="1085"/>
      <c r="HT21" s="1060"/>
      <c r="HU21" s="1060"/>
      <c r="HV21" s="1060"/>
      <c r="HW21" s="1060">
        <v>4500</v>
      </c>
      <c r="HX21" s="1060">
        <v>1500</v>
      </c>
      <c r="HY21" s="1059">
        <f t="shared" si="25"/>
        <v>6000</v>
      </c>
      <c r="IA21" s="1058" t="s">
        <v>462</v>
      </c>
      <c r="IB21" s="1085"/>
      <c r="IC21" s="1060"/>
      <c r="ID21" s="1060"/>
      <c r="IE21" s="1060"/>
      <c r="IF21" s="1060">
        <v>4500</v>
      </c>
      <c r="IG21" s="1060">
        <v>1500</v>
      </c>
      <c r="IH21" s="1059">
        <f t="shared" si="26"/>
        <v>6000</v>
      </c>
      <c r="IJ21" s="1058"/>
      <c r="IK21" s="1085"/>
      <c r="IL21" s="1060"/>
      <c r="IM21" s="1060"/>
      <c r="IN21" s="1060"/>
      <c r="IO21" s="1060"/>
      <c r="IP21" s="1060"/>
      <c r="IQ21" s="1059">
        <f t="shared" si="27"/>
        <v>0</v>
      </c>
    </row>
    <row r="22" spans="2:251" ht="15.5" hidden="1" x14ac:dyDescent="0.35">
      <c r="B22" s="1161">
        <v>2025</v>
      </c>
      <c r="C22" s="1160"/>
      <c r="D22" s="1161"/>
      <c r="E22" s="1160"/>
      <c r="F22" s="1160"/>
      <c r="G22" s="1165">
        <v>2892</v>
      </c>
      <c r="H22" s="1165"/>
      <c r="I22" s="1167">
        <f t="shared" si="0"/>
        <v>2892</v>
      </c>
      <c r="J22" s="1162"/>
      <c r="K22" s="1161">
        <v>2026</v>
      </c>
      <c r="L22" s="1160"/>
      <c r="M22" s="1161"/>
      <c r="N22" s="1160"/>
      <c r="O22" s="1160"/>
      <c r="P22" s="1166">
        <v>456</v>
      </c>
      <c r="Q22" s="1166"/>
      <c r="R22" s="1167">
        <f t="shared" si="1"/>
        <v>456</v>
      </c>
      <c r="T22" s="1161">
        <v>2026</v>
      </c>
      <c r="U22" s="1160"/>
      <c r="V22" s="1161"/>
      <c r="W22" s="1160"/>
      <c r="X22" s="1160"/>
      <c r="Y22" s="1166">
        <v>456</v>
      </c>
      <c r="Z22" s="1166"/>
      <c r="AA22" s="1167">
        <f t="shared" si="2"/>
        <v>456</v>
      </c>
      <c r="AC22" s="1161">
        <v>2026</v>
      </c>
      <c r="AD22" s="1160"/>
      <c r="AE22" s="1161"/>
      <c r="AF22" s="1160"/>
      <c r="AG22" s="1160"/>
      <c r="AH22" s="1166">
        <v>456</v>
      </c>
      <c r="AI22" s="1166"/>
      <c r="AJ22" s="1167">
        <f t="shared" si="3"/>
        <v>456</v>
      </c>
      <c r="AL22" s="1161">
        <v>2026</v>
      </c>
      <c r="AM22" s="1160"/>
      <c r="AN22" s="1161"/>
      <c r="AO22" s="1160"/>
      <c r="AP22" s="1160"/>
      <c r="AQ22" s="1166">
        <v>456</v>
      </c>
      <c r="AR22" s="1166"/>
      <c r="AS22" s="1167">
        <f t="shared" si="4"/>
        <v>456</v>
      </c>
      <c r="AU22" s="1161">
        <v>2027</v>
      </c>
      <c r="AV22" s="1160"/>
      <c r="AW22" s="1161"/>
      <c r="AX22" s="1160"/>
      <c r="AY22" s="1160"/>
      <c r="AZ22" s="1166">
        <v>519</v>
      </c>
      <c r="BA22" s="1166"/>
      <c r="BB22" s="1167">
        <f t="shared" si="5"/>
        <v>519</v>
      </c>
      <c r="BD22" s="1161">
        <v>2027</v>
      </c>
      <c r="BE22" s="1168"/>
      <c r="BF22" s="1169"/>
      <c r="BG22" s="1168"/>
      <c r="BH22" s="1168"/>
      <c r="BI22" s="1169">
        <v>2228</v>
      </c>
      <c r="BJ22" s="1169"/>
      <c r="BK22" s="1170">
        <f t="shared" si="6"/>
        <v>2228</v>
      </c>
      <c r="BL22" s="1058">
        <v>2027</v>
      </c>
      <c r="BM22" s="1085"/>
      <c r="BN22" s="1086"/>
      <c r="BO22" s="1085"/>
      <c r="BP22" s="1085"/>
      <c r="BQ22" s="1086">
        <v>2228</v>
      </c>
      <c r="BR22" s="1086"/>
      <c r="BS22" s="1171">
        <f t="shared" si="7"/>
        <v>2228</v>
      </c>
      <c r="BU22" s="1058">
        <v>2027</v>
      </c>
      <c r="BV22" s="1085"/>
      <c r="BW22" s="1086"/>
      <c r="BX22" s="1085"/>
      <c r="BY22" s="1085"/>
      <c r="BZ22" s="1086">
        <v>4322</v>
      </c>
      <c r="CA22" s="1086"/>
      <c r="CB22" s="1171">
        <f t="shared" si="8"/>
        <v>4322</v>
      </c>
      <c r="CD22" s="1058">
        <v>2028</v>
      </c>
      <c r="CE22" s="1085"/>
      <c r="CF22" s="1086"/>
      <c r="CG22" s="1085"/>
      <c r="CH22" s="1085"/>
      <c r="CI22" s="1086">
        <v>1468</v>
      </c>
      <c r="CJ22" s="1086"/>
      <c r="CK22" s="1171">
        <f t="shared" si="9"/>
        <v>1468</v>
      </c>
      <c r="CM22" s="1058">
        <v>2028</v>
      </c>
      <c r="CN22" s="1085"/>
      <c r="CO22" s="1061"/>
      <c r="CP22" s="1060"/>
      <c r="CQ22" s="1060"/>
      <c r="CR22" s="1061">
        <v>2863</v>
      </c>
      <c r="CS22" s="1061"/>
      <c r="CT22" s="1059">
        <f t="shared" si="10"/>
        <v>2863</v>
      </c>
      <c r="CV22" s="1058">
        <v>2028</v>
      </c>
      <c r="CW22" s="1085"/>
      <c r="CX22" s="1061"/>
      <c r="CY22" s="1060"/>
      <c r="CZ22" s="1060"/>
      <c r="DA22" s="1061">
        <v>2863</v>
      </c>
      <c r="DB22" s="1061">
        <v>1000</v>
      </c>
      <c r="DC22" s="1059">
        <f t="shared" si="11"/>
        <v>3863</v>
      </c>
      <c r="DE22" s="1058">
        <v>2028</v>
      </c>
      <c r="DF22" s="1085"/>
      <c r="DG22" s="1061"/>
      <c r="DH22" s="1060"/>
      <c r="DI22" s="1060"/>
      <c r="DJ22" s="1061">
        <v>4072</v>
      </c>
      <c r="DK22" s="1061">
        <v>1000</v>
      </c>
      <c r="DL22" s="1059">
        <f t="shared" si="12"/>
        <v>5072</v>
      </c>
      <c r="DN22" s="1058">
        <v>2029</v>
      </c>
      <c r="DO22" s="1085"/>
      <c r="DP22" s="1061"/>
      <c r="DQ22" s="1060"/>
      <c r="DR22" s="1060"/>
      <c r="DS22" s="1061">
        <v>746</v>
      </c>
      <c r="DT22" s="1061"/>
      <c r="DU22" s="1059">
        <f t="shared" si="13"/>
        <v>746</v>
      </c>
      <c r="DW22" s="1058">
        <v>2029</v>
      </c>
      <c r="DX22" s="1085"/>
      <c r="DY22" s="1061"/>
      <c r="DZ22" s="1060"/>
      <c r="EA22" s="1060"/>
      <c r="EB22" s="1061">
        <v>2146</v>
      </c>
      <c r="EC22" s="1061"/>
      <c r="ED22" s="1059">
        <f t="shared" si="14"/>
        <v>2146</v>
      </c>
      <c r="EF22" s="1058">
        <v>2029</v>
      </c>
      <c r="EG22" s="1085"/>
      <c r="EH22" s="1061"/>
      <c r="EI22" s="1060"/>
      <c r="EJ22" s="1060"/>
      <c r="EK22" s="1061">
        <v>2146</v>
      </c>
      <c r="EL22" s="1061"/>
      <c r="EM22" s="1059">
        <f t="shared" si="15"/>
        <v>2146</v>
      </c>
      <c r="EO22" s="1058">
        <v>2029</v>
      </c>
      <c r="EP22" s="1085"/>
      <c r="EQ22" s="1061"/>
      <c r="ER22" s="1060"/>
      <c r="ES22" s="1060"/>
      <c r="ET22" s="1061">
        <v>2146</v>
      </c>
      <c r="EU22" s="1061">
        <v>1000</v>
      </c>
      <c r="EV22" s="1059">
        <f t="shared" si="16"/>
        <v>3146</v>
      </c>
      <c r="EX22" s="1058" t="s">
        <v>463</v>
      </c>
      <c r="EY22" s="1085"/>
      <c r="EZ22" s="1061"/>
      <c r="FA22" s="1060"/>
      <c r="FB22" s="1060"/>
      <c r="FC22" s="1061">
        <v>2582</v>
      </c>
      <c r="FD22" s="1061">
        <v>1000</v>
      </c>
      <c r="FE22" s="1059">
        <f t="shared" si="17"/>
        <v>3582</v>
      </c>
      <c r="FG22" s="1058" t="s">
        <v>463</v>
      </c>
      <c r="FH22" s="1085"/>
      <c r="FI22" s="1061"/>
      <c r="FJ22" s="1060"/>
      <c r="FK22" s="1060"/>
      <c r="FL22" s="1061">
        <v>4082</v>
      </c>
      <c r="FM22" s="1061">
        <v>1000</v>
      </c>
      <c r="FN22" s="1059">
        <f t="shared" si="18"/>
        <v>5082</v>
      </c>
      <c r="FP22" s="1058"/>
      <c r="FQ22" s="1085"/>
      <c r="FR22" s="1061"/>
      <c r="FS22" s="1060"/>
      <c r="FT22" s="1060"/>
      <c r="FU22" s="1061"/>
      <c r="FV22" s="1061"/>
      <c r="FW22" s="1059"/>
      <c r="FY22" s="1058" t="s">
        <v>462</v>
      </c>
      <c r="FZ22" s="1085"/>
      <c r="GA22" s="1061"/>
      <c r="GB22" s="1060"/>
      <c r="GC22" s="1060"/>
      <c r="GD22" s="1061">
        <v>1500</v>
      </c>
      <c r="GE22" s="1061"/>
      <c r="GF22" s="1059">
        <f t="shared" si="20"/>
        <v>1500</v>
      </c>
      <c r="GH22" s="1058" t="s">
        <v>462</v>
      </c>
      <c r="GI22" s="1085"/>
      <c r="GJ22" s="1061"/>
      <c r="GK22" s="1060"/>
      <c r="GL22" s="1060"/>
      <c r="GM22" s="1061">
        <f>1500+1500</f>
        <v>3000</v>
      </c>
      <c r="GN22" s="1061"/>
      <c r="GO22" s="1059">
        <f t="shared" si="21"/>
        <v>3000</v>
      </c>
      <c r="GQ22" s="1058" t="s">
        <v>462</v>
      </c>
      <c r="GR22" s="1086"/>
      <c r="GS22" s="1061"/>
      <c r="GT22" s="1060"/>
      <c r="GU22" s="1060"/>
      <c r="GV22" s="1061">
        <f>1500+1500</f>
        <v>3000</v>
      </c>
      <c r="GW22" s="1061">
        <v>1500</v>
      </c>
      <c r="GX22" s="1059">
        <f t="shared" si="22"/>
        <v>4500</v>
      </c>
      <c r="GZ22" s="1058"/>
      <c r="HA22" s="1083"/>
      <c r="HB22" s="1061"/>
      <c r="HC22" s="1055"/>
      <c r="HD22" s="1055"/>
      <c r="HE22" s="1056"/>
      <c r="HF22" s="1061"/>
      <c r="HG22" s="1059">
        <f t="shared" si="23"/>
        <v>0</v>
      </c>
      <c r="HI22" s="1058"/>
      <c r="HJ22" s="1085"/>
      <c r="HK22" s="1060"/>
      <c r="HL22" s="1060"/>
      <c r="HM22" s="1060"/>
      <c r="HN22" s="1060"/>
      <c r="HO22" s="1060"/>
      <c r="HP22" s="1059">
        <f t="shared" si="24"/>
        <v>0</v>
      </c>
      <c r="HR22" s="1058"/>
      <c r="HS22" s="1085"/>
      <c r="HT22" s="1060"/>
      <c r="HU22" s="1060"/>
      <c r="HV22" s="1060"/>
      <c r="HW22" s="1060"/>
      <c r="HX22" s="1060"/>
      <c r="HY22" s="1059">
        <f t="shared" si="25"/>
        <v>0</v>
      </c>
      <c r="IA22" s="1058"/>
      <c r="IB22" s="1085"/>
      <c r="IC22" s="1060"/>
      <c r="ID22" s="1060"/>
      <c r="IE22" s="1060"/>
      <c r="IF22" s="1060"/>
      <c r="IG22" s="1060"/>
      <c r="IH22" s="1059">
        <f t="shared" si="26"/>
        <v>0</v>
      </c>
      <c r="IJ22" s="1058" t="s">
        <v>461</v>
      </c>
      <c r="IK22" s="1085"/>
      <c r="IL22" s="1060"/>
      <c r="IM22" s="1060"/>
      <c r="IN22" s="1060"/>
      <c r="IO22" s="1060">
        <v>1500</v>
      </c>
      <c r="IP22" s="1060">
        <v>600</v>
      </c>
      <c r="IQ22" s="1059">
        <f t="shared" si="27"/>
        <v>2100</v>
      </c>
    </row>
    <row r="23" spans="2:251" ht="15.5" hidden="1" x14ac:dyDescent="0.35">
      <c r="B23" s="1161">
        <v>2026</v>
      </c>
      <c r="C23" s="1160"/>
      <c r="D23" s="1161"/>
      <c r="E23" s="1160"/>
      <c r="F23" s="1160"/>
      <c r="G23" s="1165">
        <v>456</v>
      </c>
      <c r="H23" s="1165"/>
      <c r="I23" s="1167">
        <f t="shared" si="0"/>
        <v>456</v>
      </c>
      <c r="J23" s="1162"/>
      <c r="K23" s="1161">
        <v>2027</v>
      </c>
      <c r="L23" s="1160"/>
      <c r="M23" s="1161"/>
      <c r="N23" s="1160"/>
      <c r="O23" s="1160"/>
      <c r="P23" s="1166">
        <v>519</v>
      </c>
      <c r="Q23" s="1166"/>
      <c r="R23" s="1167">
        <f t="shared" si="1"/>
        <v>519</v>
      </c>
      <c r="T23" s="1161">
        <v>2027</v>
      </c>
      <c r="U23" s="1160"/>
      <c r="V23" s="1161"/>
      <c r="W23" s="1160"/>
      <c r="X23" s="1160"/>
      <c r="Y23" s="1166">
        <v>519</v>
      </c>
      <c r="Z23" s="1166"/>
      <c r="AA23" s="1167">
        <f t="shared" si="2"/>
        <v>519</v>
      </c>
      <c r="AC23" s="1161">
        <v>2027</v>
      </c>
      <c r="AD23" s="1160"/>
      <c r="AE23" s="1161"/>
      <c r="AF23" s="1160"/>
      <c r="AG23" s="1160"/>
      <c r="AH23" s="1166">
        <v>519</v>
      </c>
      <c r="AI23" s="1166"/>
      <c r="AJ23" s="1167">
        <f t="shared" si="3"/>
        <v>519</v>
      </c>
      <c r="AL23" s="1161">
        <v>2027</v>
      </c>
      <c r="AM23" s="1160"/>
      <c r="AN23" s="1161"/>
      <c r="AO23" s="1160"/>
      <c r="AP23" s="1160"/>
      <c r="AQ23" s="1166">
        <v>519</v>
      </c>
      <c r="AR23" s="1166"/>
      <c r="AS23" s="1167">
        <f t="shared" si="4"/>
        <v>519</v>
      </c>
      <c r="AU23" s="1161">
        <v>2028</v>
      </c>
      <c r="AV23" s="1160"/>
      <c r="AW23" s="1161"/>
      <c r="AX23" s="1160"/>
      <c r="AY23" s="1160"/>
      <c r="AZ23" s="1166">
        <v>1468</v>
      </c>
      <c r="BA23" s="1166"/>
      <c r="BB23" s="1167">
        <f t="shared" si="5"/>
        <v>1468</v>
      </c>
      <c r="BD23" s="1161">
        <v>2028</v>
      </c>
      <c r="BE23" s="1168"/>
      <c r="BF23" s="1169"/>
      <c r="BG23" s="1168"/>
      <c r="BH23" s="1168"/>
      <c r="BI23" s="1169">
        <v>1468</v>
      </c>
      <c r="BJ23" s="1169"/>
      <c r="BK23" s="1170">
        <f t="shared" si="6"/>
        <v>1468</v>
      </c>
      <c r="BL23" s="1058">
        <v>2028</v>
      </c>
      <c r="BM23" s="1085"/>
      <c r="BN23" s="1086"/>
      <c r="BO23" s="1085"/>
      <c r="BP23" s="1085"/>
      <c r="BQ23" s="1086">
        <v>1468</v>
      </c>
      <c r="BR23" s="1086"/>
      <c r="BS23" s="1171">
        <f t="shared" si="7"/>
        <v>1468</v>
      </c>
      <c r="BU23" s="1058">
        <v>2028</v>
      </c>
      <c r="BV23" s="1085"/>
      <c r="BW23" s="1086"/>
      <c r="BX23" s="1085"/>
      <c r="BY23" s="1085"/>
      <c r="BZ23" s="1086">
        <v>1468</v>
      </c>
      <c r="CA23" s="1086"/>
      <c r="CB23" s="1171">
        <f t="shared" si="8"/>
        <v>1468</v>
      </c>
      <c r="CD23" s="1058">
        <v>2029</v>
      </c>
      <c r="CE23" s="1085"/>
      <c r="CF23" s="1086"/>
      <c r="CG23" s="1085"/>
      <c r="CH23" s="1085"/>
      <c r="CI23" s="1086">
        <v>746</v>
      </c>
      <c r="CJ23" s="1086"/>
      <c r="CK23" s="1171">
        <f t="shared" si="9"/>
        <v>746</v>
      </c>
      <c r="CM23" s="1058">
        <v>2029</v>
      </c>
      <c r="CN23" s="1085"/>
      <c r="CO23" s="1061"/>
      <c r="CP23" s="1060"/>
      <c r="CQ23" s="1060"/>
      <c r="CR23" s="1061">
        <v>746</v>
      </c>
      <c r="CS23" s="1061"/>
      <c r="CT23" s="1059">
        <f t="shared" si="10"/>
        <v>746</v>
      </c>
      <c r="CV23" s="1058">
        <v>2029</v>
      </c>
      <c r="CW23" s="1085"/>
      <c r="CX23" s="1061"/>
      <c r="CY23" s="1060"/>
      <c r="CZ23" s="1060"/>
      <c r="DA23" s="1061">
        <v>746</v>
      </c>
      <c r="DB23" s="1061"/>
      <c r="DC23" s="1059">
        <f t="shared" si="11"/>
        <v>746</v>
      </c>
      <c r="DE23" s="1058">
        <v>2029</v>
      </c>
      <c r="DF23" s="1085"/>
      <c r="DG23" s="1061"/>
      <c r="DH23" s="1060"/>
      <c r="DI23" s="1060"/>
      <c r="DJ23" s="1061">
        <v>746</v>
      </c>
      <c r="DK23" s="1061"/>
      <c r="DL23" s="1059">
        <f t="shared" si="12"/>
        <v>746</v>
      </c>
      <c r="DN23" s="1058"/>
      <c r="DO23" s="1085"/>
      <c r="DP23" s="1061"/>
      <c r="DQ23" s="1060"/>
      <c r="DR23" s="1060"/>
      <c r="DS23" s="1061"/>
      <c r="DT23" s="1061"/>
      <c r="DU23" s="1059"/>
      <c r="DW23" s="1058"/>
      <c r="DX23" s="1085"/>
      <c r="DY23" s="1061"/>
      <c r="DZ23" s="1060"/>
      <c r="EA23" s="1060"/>
      <c r="EB23" s="1061"/>
      <c r="EC23" s="1061"/>
      <c r="ED23" s="1059"/>
      <c r="EF23" s="1058"/>
      <c r="EG23" s="1085"/>
      <c r="EH23" s="1061"/>
      <c r="EI23" s="1060"/>
      <c r="EJ23" s="1060"/>
      <c r="EK23" s="1061"/>
      <c r="EL23" s="1061"/>
      <c r="EM23" s="1059"/>
      <c r="EO23" s="1058"/>
      <c r="EP23" s="1085"/>
      <c r="EQ23" s="1061"/>
      <c r="ER23" s="1060"/>
      <c r="ES23" s="1060"/>
      <c r="ET23" s="1061"/>
      <c r="EU23" s="1061"/>
      <c r="EV23" s="1059"/>
      <c r="EX23" s="1058"/>
      <c r="EY23" s="1085"/>
      <c r="EZ23" s="1061"/>
      <c r="FA23" s="1060"/>
      <c r="FB23" s="1060"/>
      <c r="FC23" s="1061"/>
      <c r="FD23" s="1061"/>
      <c r="FE23" s="1059"/>
      <c r="FG23" s="1058"/>
      <c r="FH23" s="1085"/>
      <c r="FI23" s="1061"/>
      <c r="FJ23" s="1060"/>
      <c r="FK23" s="1060"/>
      <c r="FL23" s="1061"/>
      <c r="FM23" s="1061"/>
      <c r="FN23" s="1059"/>
      <c r="FP23" s="1058"/>
      <c r="FQ23" s="1085"/>
      <c r="FR23" s="1061"/>
      <c r="FS23" s="1060"/>
      <c r="FT23" s="1060"/>
      <c r="FU23" s="1061"/>
      <c r="FV23" s="1061"/>
      <c r="FW23" s="1059"/>
      <c r="FY23" s="1058"/>
      <c r="FZ23" s="1085"/>
      <c r="GA23" s="1061"/>
      <c r="GB23" s="1060"/>
      <c r="GC23" s="1060"/>
      <c r="GD23" s="1061"/>
      <c r="GE23" s="1061"/>
      <c r="GF23" s="1059"/>
      <c r="GH23" s="1058"/>
      <c r="GI23" s="1085"/>
      <c r="GJ23" s="1061"/>
      <c r="GK23" s="1060"/>
      <c r="GL23" s="1060"/>
      <c r="GM23" s="1061"/>
      <c r="GN23" s="1061"/>
      <c r="GO23" s="1059"/>
      <c r="GQ23" s="1058"/>
      <c r="GR23" s="1086"/>
      <c r="GS23" s="1056"/>
      <c r="GT23" s="1060"/>
      <c r="GU23" s="1055"/>
      <c r="GV23" s="1061"/>
      <c r="GW23" s="1061"/>
      <c r="GX23" s="1059">
        <f t="shared" si="22"/>
        <v>0</v>
      </c>
      <c r="GZ23" s="1058" t="s">
        <v>457</v>
      </c>
      <c r="HA23" s="1086"/>
      <c r="HB23" s="1061"/>
      <c r="HC23" s="1060"/>
      <c r="HD23" s="1060"/>
      <c r="HE23" s="1061">
        <v>3000</v>
      </c>
      <c r="HF23" s="1061"/>
      <c r="HG23" s="1059">
        <f t="shared" si="23"/>
        <v>3000</v>
      </c>
      <c r="HI23" s="1058" t="s">
        <v>461</v>
      </c>
      <c r="HJ23" s="1085"/>
      <c r="HK23" s="1060"/>
      <c r="HL23" s="1060"/>
      <c r="HM23" s="1060"/>
      <c r="HN23" s="1060">
        <v>1500</v>
      </c>
      <c r="HO23" s="1060"/>
      <c r="HP23" s="1059">
        <f t="shared" si="24"/>
        <v>1500</v>
      </c>
      <c r="HR23" s="1058" t="s">
        <v>461</v>
      </c>
      <c r="HS23" s="1085"/>
      <c r="HT23" s="1060"/>
      <c r="HU23" s="1060"/>
      <c r="HV23" s="1060"/>
      <c r="HW23" s="1060">
        <v>1500</v>
      </c>
      <c r="HX23" s="1060"/>
      <c r="HY23" s="1059">
        <f t="shared" si="25"/>
        <v>1500</v>
      </c>
      <c r="IA23" s="1058" t="s">
        <v>461</v>
      </c>
      <c r="IB23" s="1085"/>
      <c r="IC23" s="1060"/>
      <c r="ID23" s="1060"/>
      <c r="IE23" s="1060"/>
      <c r="IF23" s="1060">
        <v>1500</v>
      </c>
      <c r="IG23" s="1060"/>
      <c r="IH23" s="1059">
        <f t="shared" si="26"/>
        <v>1500</v>
      </c>
      <c r="IJ23" s="1058" t="s">
        <v>457</v>
      </c>
      <c r="IK23" s="1085"/>
      <c r="IL23" s="1060"/>
      <c r="IM23" s="1060"/>
      <c r="IN23" s="1060"/>
      <c r="IO23" s="1060">
        <v>3000</v>
      </c>
      <c r="IP23" s="1060"/>
      <c r="IQ23" s="1059">
        <f t="shared" si="27"/>
        <v>3000</v>
      </c>
    </row>
    <row r="24" spans="2:251" ht="15.5" hidden="1" x14ac:dyDescent="0.35">
      <c r="B24" s="1161">
        <v>2027</v>
      </c>
      <c r="C24" s="1160"/>
      <c r="D24" s="1161"/>
      <c r="E24" s="1160"/>
      <c r="F24" s="1160"/>
      <c r="G24" s="1165">
        <v>519</v>
      </c>
      <c r="H24" s="1165"/>
      <c r="I24" s="1167">
        <f t="shared" si="0"/>
        <v>519</v>
      </c>
      <c r="J24" s="1162"/>
      <c r="K24" s="1161">
        <v>2028</v>
      </c>
      <c r="L24" s="1160"/>
      <c r="M24" s="1161"/>
      <c r="N24" s="1160"/>
      <c r="O24" s="1160"/>
      <c r="P24" s="1166">
        <v>1468</v>
      </c>
      <c r="Q24" s="1166"/>
      <c r="R24" s="1167">
        <f t="shared" si="1"/>
        <v>1468</v>
      </c>
      <c r="T24" s="1161">
        <v>2028</v>
      </c>
      <c r="U24" s="1160"/>
      <c r="V24" s="1161"/>
      <c r="W24" s="1160"/>
      <c r="X24" s="1160"/>
      <c r="Y24" s="1166">
        <v>1468</v>
      </c>
      <c r="Z24" s="1166"/>
      <c r="AA24" s="1167">
        <f t="shared" si="2"/>
        <v>1468</v>
      </c>
      <c r="AC24" s="1161">
        <v>2028</v>
      </c>
      <c r="AD24" s="1160"/>
      <c r="AE24" s="1161"/>
      <c r="AF24" s="1160"/>
      <c r="AG24" s="1160"/>
      <c r="AH24" s="1166">
        <v>1468</v>
      </c>
      <c r="AI24" s="1166"/>
      <c r="AJ24" s="1167">
        <f t="shared" si="3"/>
        <v>1468</v>
      </c>
      <c r="AL24" s="1161">
        <v>2028</v>
      </c>
      <c r="AM24" s="1160"/>
      <c r="AN24" s="1161"/>
      <c r="AO24" s="1160"/>
      <c r="AP24" s="1160"/>
      <c r="AQ24" s="1166">
        <v>1468</v>
      </c>
      <c r="AR24" s="1166"/>
      <c r="AS24" s="1167">
        <f t="shared" si="4"/>
        <v>1468</v>
      </c>
      <c r="AU24" s="1161">
        <v>2029</v>
      </c>
      <c r="AV24" s="1160"/>
      <c r="AW24" s="1161"/>
      <c r="AX24" s="1160"/>
      <c r="AY24" s="1160"/>
      <c r="AZ24" s="1166">
        <v>746</v>
      </c>
      <c r="BA24" s="1166"/>
      <c r="BB24" s="1167">
        <f t="shared" si="5"/>
        <v>746</v>
      </c>
      <c r="BD24" s="1161">
        <v>2029</v>
      </c>
      <c r="BE24" s="1168"/>
      <c r="BF24" s="1169"/>
      <c r="BG24" s="1168"/>
      <c r="BH24" s="1168"/>
      <c r="BI24" s="1169">
        <v>746</v>
      </c>
      <c r="BJ24" s="1169"/>
      <c r="BK24" s="1170">
        <f t="shared" si="6"/>
        <v>746</v>
      </c>
      <c r="BL24" s="1058">
        <v>2029</v>
      </c>
      <c r="BM24" s="1085"/>
      <c r="BN24" s="1086"/>
      <c r="BO24" s="1085"/>
      <c r="BP24" s="1085"/>
      <c r="BQ24" s="1086">
        <v>746</v>
      </c>
      <c r="BR24" s="1086"/>
      <c r="BS24" s="1171">
        <f t="shared" si="7"/>
        <v>746</v>
      </c>
      <c r="BU24" s="1058">
        <v>2029</v>
      </c>
      <c r="BV24" s="1085"/>
      <c r="BW24" s="1086"/>
      <c r="BX24" s="1085"/>
      <c r="BY24" s="1085"/>
      <c r="BZ24" s="1086">
        <v>746</v>
      </c>
      <c r="CA24" s="1086"/>
      <c r="CB24" s="1171">
        <f t="shared" si="8"/>
        <v>746</v>
      </c>
      <c r="CD24" s="1058">
        <v>2030</v>
      </c>
      <c r="CE24" s="1086"/>
      <c r="CF24" s="1086"/>
      <c r="CG24" s="1085"/>
      <c r="CH24" s="1085"/>
      <c r="CI24" s="1086"/>
      <c r="CJ24" s="1086"/>
      <c r="CK24" s="1171"/>
      <c r="CM24" s="1058"/>
      <c r="CN24" s="1085"/>
      <c r="CO24" s="1061"/>
      <c r="CP24" s="1060"/>
      <c r="CQ24" s="1060"/>
      <c r="CR24" s="1061"/>
      <c r="CS24" s="1061"/>
      <c r="CT24" s="1059"/>
      <c r="CV24" s="1058"/>
      <c r="CW24" s="1085"/>
      <c r="CX24" s="1061"/>
      <c r="CY24" s="1060"/>
      <c r="CZ24" s="1060"/>
      <c r="DA24" s="1061"/>
      <c r="DB24" s="1061"/>
      <c r="DC24" s="1059"/>
      <c r="DE24" s="1058"/>
      <c r="DF24" s="1085"/>
      <c r="DG24" s="1061"/>
      <c r="DH24" s="1060"/>
      <c r="DI24" s="1060"/>
      <c r="DJ24" s="1061"/>
      <c r="DK24" s="1061"/>
      <c r="DL24" s="1059"/>
      <c r="DN24" s="1058"/>
      <c r="DO24" s="1085"/>
      <c r="DP24" s="1061"/>
      <c r="DQ24" s="1060"/>
      <c r="DR24" s="1060"/>
      <c r="DS24" s="1061"/>
      <c r="DT24" s="1061"/>
      <c r="DU24" s="1059"/>
      <c r="DW24" s="1058"/>
      <c r="DX24" s="1085"/>
      <c r="DY24" s="1061"/>
      <c r="DZ24" s="1060"/>
      <c r="EA24" s="1060"/>
      <c r="EB24" s="1061"/>
      <c r="EC24" s="1061"/>
      <c r="ED24" s="1059"/>
      <c r="EF24" s="1058"/>
      <c r="EG24" s="1085"/>
      <c r="EH24" s="1061"/>
      <c r="EI24" s="1060"/>
      <c r="EJ24" s="1060"/>
      <c r="EK24" s="1061"/>
      <c r="EL24" s="1061"/>
      <c r="EM24" s="1059"/>
      <c r="EO24" s="1058"/>
      <c r="EP24" s="1085"/>
      <c r="EQ24" s="1061"/>
      <c r="ER24" s="1060"/>
      <c r="ES24" s="1060"/>
      <c r="ET24" s="1061"/>
      <c r="EU24" s="1061"/>
      <c r="EV24" s="1059"/>
      <c r="EX24" s="1058"/>
      <c r="EY24" s="1085"/>
      <c r="EZ24" s="1061"/>
      <c r="FA24" s="1060"/>
      <c r="FB24" s="1060"/>
      <c r="FC24" s="1061"/>
      <c r="FD24" s="1061"/>
      <c r="FE24" s="1059"/>
      <c r="FG24" s="1058"/>
      <c r="FH24" s="1085"/>
      <c r="FI24" s="1061"/>
      <c r="FJ24" s="1060"/>
      <c r="FK24" s="1060"/>
      <c r="FL24" s="1061"/>
      <c r="FM24" s="1061"/>
      <c r="FN24" s="1059"/>
      <c r="FP24" s="1058"/>
      <c r="FQ24" s="1085"/>
      <c r="FR24" s="1061"/>
      <c r="FS24" s="1060"/>
      <c r="FT24" s="1060"/>
      <c r="FU24" s="1061"/>
      <c r="FV24" s="1061"/>
      <c r="FW24" s="1059"/>
      <c r="FY24" s="1058"/>
      <c r="FZ24" s="1085"/>
      <c r="GA24" s="1061"/>
      <c r="GB24" s="1060"/>
      <c r="GC24" s="1060"/>
      <c r="GD24" s="1061"/>
      <c r="GE24" s="1061"/>
      <c r="GF24" s="1059"/>
      <c r="GH24" s="1058"/>
      <c r="GI24" s="1085"/>
      <c r="GJ24" s="1061"/>
      <c r="GK24" s="1060"/>
      <c r="GL24" s="1060"/>
      <c r="GM24" s="1061"/>
      <c r="GN24" s="1061"/>
      <c r="GO24" s="1059"/>
      <c r="GQ24" s="1058" t="s">
        <v>457</v>
      </c>
      <c r="GR24" s="1086"/>
      <c r="GS24" s="1061"/>
      <c r="GT24" s="1061"/>
      <c r="GU24" s="1060"/>
      <c r="GV24" s="1061">
        <v>1500</v>
      </c>
      <c r="GW24" s="1061"/>
      <c r="GX24" s="1059">
        <f t="shared" si="22"/>
        <v>1500</v>
      </c>
      <c r="GZ24" s="1058"/>
      <c r="HA24" s="1086"/>
      <c r="HB24" s="1061"/>
      <c r="HC24" s="1060"/>
      <c r="HD24" s="1060"/>
      <c r="HE24" s="1061"/>
      <c r="HF24" s="1061"/>
      <c r="HG24" s="1059"/>
      <c r="HI24" s="1058" t="s">
        <v>457</v>
      </c>
      <c r="HJ24" s="1085"/>
      <c r="HK24" s="1060"/>
      <c r="HL24" s="1060"/>
      <c r="HM24" s="1060"/>
      <c r="HN24" s="1060">
        <v>3000</v>
      </c>
      <c r="HO24" s="1060"/>
      <c r="HP24" s="1059">
        <f t="shared" si="24"/>
        <v>3000</v>
      </c>
      <c r="HR24" s="1058" t="s">
        <v>457</v>
      </c>
      <c r="HS24" s="1085"/>
      <c r="HT24" s="1060"/>
      <c r="HU24" s="1060"/>
      <c r="HV24" s="1060"/>
      <c r="HW24" s="1060">
        <v>3000</v>
      </c>
      <c r="HX24" s="1060"/>
      <c r="HY24" s="1059">
        <f t="shared" si="25"/>
        <v>3000</v>
      </c>
      <c r="IA24" s="1058" t="s">
        <v>457</v>
      </c>
      <c r="IB24" s="1085"/>
      <c r="IC24" s="1060"/>
      <c r="ID24" s="1060"/>
      <c r="IE24" s="1060"/>
      <c r="IF24" s="1060">
        <v>3000</v>
      </c>
      <c r="IG24" s="1060"/>
      <c r="IH24" s="1059">
        <f t="shared" si="26"/>
        <v>3000</v>
      </c>
      <c r="IJ24" s="1058" t="s">
        <v>456</v>
      </c>
      <c r="IK24" s="1086"/>
      <c r="IL24" s="1060"/>
      <c r="IM24" s="1061"/>
      <c r="IN24" s="1061"/>
      <c r="IO24" s="1061">
        <f>1500+1900</f>
        <v>3400</v>
      </c>
      <c r="IP24" s="1061"/>
      <c r="IQ24" s="1059">
        <f t="shared" si="27"/>
        <v>3400</v>
      </c>
    </row>
    <row r="25" spans="2:251" ht="15.5" hidden="1" x14ac:dyDescent="0.35">
      <c r="B25" s="1161">
        <v>2028</v>
      </c>
      <c r="C25" s="1160"/>
      <c r="D25" s="1161"/>
      <c r="E25" s="1160"/>
      <c r="F25" s="1160"/>
      <c r="G25" s="1165">
        <v>1468</v>
      </c>
      <c r="H25" s="1165"/>
      <c r="I25" s="1167">
        <f t="shared" si="0"/>
        <v>1468</v>
      </c>
      <c r="J25" s="1162"/>
      <c r="K25" s="1161">
        <v>2029</v>
      </c>
      <c r="L25" s="1160"/>
      <c r="M25" s="1161"/>
      <c r="N25" s="1160"/>
      <c r="O25" s="1160"/>
      <c r="P25" s="1166">
        <v>746</v>
      </c>
      <c r="Q25" s="1166"/>
      <c r="R25" s="1167">
        <f t="shared" si="1"/>
        <v>746</v>
      </c>
      <c r="T25" s="1161">
        <v>2029</v>
      </c>
      <c r="U25" s="1160"/>
      <c r="V25" s="1161"/>
      <c r="W25" s="1160"/>
      <c r="X25" s="1160"/>
      <c r="Y25" s="1166">
        <v>746</v>
      </c>
      <c r="Z25" s="1166"/>
      <c r="AA25" s="1167">
        <f t="shared" si="2"/>
        <v>746</v>
      </c>
      <c r="AC25" s="1161">
        <v>2029</v>
      </c>
      <c r="AD25" s="1160"/>
      <c r="AE25" s="1161"/>
      <c r="AF25" s="1160"/>
      <c r="AG25" s="1160"/>
      <c r="AH25" s="1166">
        <v>746</v>
      </c>
      <c r="AI25" s="1166"/>
      <c r="AJ25" s="1167">
        <f t="shared" si="3"/>
        <v>746</v>
      </c>
      <c r="AL25" s="1161">
        <v>2029</v>
      </c>
      <c r="AM25" s="1160"/>
      <c r="AN25" s="1161"/>
      <c r="AO25" s="1160"/>
      <c r="AP25" s="1160"/>
      <c r="AQ25" s="1166">
        <v>746</v>
      </c>
      <c r="AR25" s="1166"/>
      <c r="AS25" s="1167">
        <f t="shared" si="4"/>
        <v>746</v>
      </c>
      <c r="AU25" s="1161"/>
      <c r="AV25" s="1160"/>
      <c r="AW25" s="1161"/>
      <c r="AX25" s="1160"/>
      <c r="AY25" s="1160"/>
      <c r="AZ25" s="1166"/>
      <c r="BA25" s="1166"/>
      <c r="BB25" s="1167"/>
      <c r="BD25" s="1161"/>
      <c r="BE25" s="1168"/>
      <c r="BF25" s="1169"/>
      <c r="BG25" s="1168"/>
      <c r="BH25" s="1168"/>
      <c r="BI25" s="1169"/>
      <c r="BJ25" s="1169"/>
      <c r="BK25" s="1170"/>
      <c r="BL25" s="1058"/>
      <c r="BM25" s="1085"/>
      <c r="BN25" s="1086"/>
      <c r="BO25" s="1085"/>
      <c r="BP25" s="1085"/>
      <c r="BQ25" s="1086"/>
      <c r="BR25" s="1086"/>
      <c r="BS25" s="1171"/>
      <c r="BU25" s="1058"/>
      <c r="BV25" s="1085"/>
      <c r="BW25" s="1086"/>
      <c r="BX25" s="1085"/>
      <c r="BY25" s="1085"/>
      <c r="BZ25" s="1086"/>
      <c r="CA25" s="1086"/>
      <c r="CB25" s="1171"/>
      <c r="CD25" s="1058"/>
      <c r="CE25" s="1085"/>
      <c r="CF25" s="1086"/>
      <c r="CG25" s="1086"/>
      <c r="CH25" s="1086"/>
      <c r="CI25" s="1085"/>
      <c r="CJ25" s="1085"/>
      <c r="CK25" s="1171"/>
      <c r="CM25" s="1058"/>
      <c r="CN25" s="1085"/>
      <c r="CO25" s="1061"/>
      <c r="CP25" s="1060"/>
      <c r="CQ25" s="1060"/>
      <c r="CR25" s="1061"/>
      <c r="CS25" s="1061"/>
      <c r="CT25" s="1059"/>
      <c r="CV25" s="1058"/>
      <c r="CW25" s="1085"/>
      <c r="CX25" s="1061"/>
      <c r="CY25" s="1060"/>
      <c r="CZ25" s="1060"/>
      <c r="DA25" s="1061"/>
      <c r="DB25" s="1061"/>
      <c r="DC25" s="1059"/>
      <c r="DE25" s="1058"/>
      <c r="DF25" s="1085"/>
      <c r="DG25" s="1061"/>
      <c r="DH25" s="1060"/>
      <c r="DI25" s="1060"/>
      <c r="DJ25" s="1061"/>
      <c r="DK25" s="1061"/>
      <c r="DL25" s="1059"/>
      <c r="DN25" s="1058"/>
      <c r="DO25" s="1085"/>
      <c r="DP25" s="1061"/>
      <c r="DQ25" s="1060"/>
      <c r="DR25" s="1060"/>
      <c r="DS25" s="1061"/>
      <c r="DT25" s="1061"/>
      <c r="DU25" s="1059"/>
      <c r="DW25" s="1058"/>
      <c r="DX25" s="1085"/>
      <c r="DY25" s="1061"/>
      <c r="DZ25" s="1060"/>
      <c r="EA25" s="1060"/>
      <c r="EB25" s="1061"/>
      <c r="EC25" s="1061"/>
      <c r="ED25" s="1059"/>
      <c r="EF25" s="1058"/>
      <c r="EG25" s="1085"/>
      <c r="EH25" s="1061"/>
      <c r="EI25" s="1060"/>
      <c r="EJ25" s="1060"/>
      <c r="EK25" s="1061"/>
      <c r="EL25" s="1061"/>
      <c r="EM25" s="1059"/>
      <c r="EO25" s="1058"/>
      <c r="EP25" s="1085"/>
      <c r="EQ25" s="1061"/>
      <c r="ER25" s="1060"/>
      <c r="ES25" s="1060"/>
      <c r="ET25" s="1061"/>
      <c r="EU25" s="1061"/>
      <c r="EV25" s="1059"/>
      <c r="EX25" s="1058"/>
      <c r="EY25" s="1085"/>
      <c r="EZ25" s="1061"/>
      <c r="FA25" s="1060"/>
      <c r="FB25" s="1060"/>
      <c r="FC25" s="1061"/>
      <c r="FD25" s="1061"/>
      <c r="FE25" s="1059"/>
      <c r="FG25" s="1058"/>
      <c r="FH25" s="1085"/>
      <c r="FI25" s="1061"/>
      <c r="FJ25" s="1060"/>
      <c r="FK25" s="1060"/>
      <c r="FL25" s="1061"/>
      <c r="FM25" s="1061"/>
      <c r="FN25" s="1059"/>
      <c r="FP25" s="1058"/>
      <c r="FQ25" s="1085"/>
      <c r="FR25" s="1061"/>
      <c r="FS25" s="1060"/>
      <c r="FT25" s="1060"/>
      <c r="FU25" s="1061"/>
      <c r="FV25" s="1061"/>
      <c r="FW25" s="1059"/>
      <c r="FY25" s="1058"/>
      <c r="FZ25" s="1085"/>
      <c r="GA25" s="1061"/>
      <c r="GB25" s="1060"/>
      <c r="GC25" s="1060"/>
      <c r="GD25" s="1061"/>
      <c r="GE25" s="1061"/>
      <c r="GF25" s="1059"/>
      <c r="GH25" s="1058"/>
      <c r="GI25" s="1085"/>
      <c r="GJ25" s="1061"/>
      <c r="GK25" s="1060"/>
      <c r="GL25" s="1060"/>
      <c r="GM25" s="1061"/>
      <c r="GN25" s="1061"/>
      <c r="GO25" s="1059"/>
      <c r="GQ25" s="1058"/>
      <c r="GR25" s="1086"/>
      <c r="GS25" s="1061"/>
      <c r="GT25" s="1060"/>
      <c r="GU25" s="1061"/>
      <c r="GV25" s="1061"/>
      <c r="GW25" s="1061"/>
      <c r="GX25" s="1059"/>
      <c r="GZ25" s="1058"/>
      <c r="HA25" s="1086"/>
      <c r="HB25" s="1061"/>
      <c r="HC25" s="1060"/>
      <c r="HD25" s="1060"/>
      <c r="HE25" s="1061"/>
      <c r="HF25" s="1061"/>
      <c r="HG25" s="1059"/>
      <c r="HI25" s="1058" t="s">
        <v>456</v>
      </c>
      <c r="HJ25" s="1086"/>
      <c r="HK25" s="1060"/>
      <c r="HL25" s="1060"/>
      <c r="HM25" s="1060"/>
      <c r="HN25" s="1061">
        <v>1500</v>
      </c>
      <c r="HO25" s="1060"/>
      <c r="HP25" s="1059">
        <f t="shared" si="24"/>
        <v>1500</v>
      </c>
      <c r="HR25" s="1058" t="s">
        <v>456</v>
      </c>
      <c r="HS25" s="1085"/>
      <c r="HT25" s="1061"/>
      <c r="HU25" s="1060"/>
      <c r="HV25" s="1061"/>
      <c r="HW25" s="1060">
        <v>1500</v>
      </c>
      <c r="HX25" s="1060"/>
      <c r="HY25" s="1059">
        <f t="shared" si="25"/>
        <v>1500</v>
      </c>
      <c r="IA25" s="1058"/>
      <c r="IB25" s="1085"/>
      <c r="IC25" s="1060"/>
      <c r="ID25" s="1060"/>
      <c r="IE25" s="1060"/>
      <c r="IF25" s="1060"/>
      <c r="IG25" s="1060"/>
      <c r="IH25" s="1059"/>
      <c r="IJ25" s="1067"/>
      <c r="IK25" s="1085"/>
      <c r="IL25" s="1060"/>
      <c r="IM25" s="1060"/>
      <c r="IN25" s="1060"/>
      <c r="IO25" s="1060"/>
      <c r="IP25" s="1060"/>
      <c r="IQ25" s="1059"/>
    </row>
    <row r="26" spans="2:251" ht="15.5" hidden="1" x14ac:dyDescent="0.35">
      <c r="B26" s="1161">
        <v>2029</v>
      </c>
      <c r="C26" s="1160"/>
      <c r="D26" s="1161"/>
      <c r="E26" s="1160"/>
      <c r="F26" s="1160"/>
      <c r="G26" s="1165">
        <v>746</v>
      </c>
      <c r="H26" s="1165"/>
      <c r="I26" s="1167">
        <f t="shared" si="0"/>
        <v>746</v>
      </c>
      <c r="J26" s="1162"/>
      <c r="K26" s="1161"/>
      <c r="L26" s="1160"/>
      <c r="M26" s="1161"/>
      <c r="N26" s="1160"/>
      <c r="O26" s="1160"/>
      <c r="P26" s="1159"/>
      <c r="Q26" s="1159"/>
      <c r="R26" s="1167"/>
      <c r="T26" s="1161"/>
      <c r="U26" s="1160"/>
      <c r="V26" s="1161"/>
      <c r="W26" s="1160"/>
      <c r="X26" s="1160"/>
      <c r="Y26" s="1159"/>
      <c r="Z26" s="1159"/>
      <c r="AA26" s="1167"/>
      <c r="AC26" s="1161"/>
      <c r="AD26" s="1160"/>
      <c r="AE26" s="1161"/>
      <c r="AF26" s="1160"/>
      <c r="AG26" s="1160"/>
      <c r="AH26" s="1159"/>
      <c r="AI26" s="1159"/>
      <c r="AJ26" s="1167"/>
      <c r="AL26" s="1161"/>
      <c r="AM26" s="1160"/>
      <c r="AN26" s="1161"/>
      <c r="AO26" s="1160"/>
      <c r="AP26" s="1160"/>
      <c r="AQ26" s="1159"/>
      <c r="AR26" s="1159"/>
      <c r="AS26" s="1167"/>
      <c r="AU26" s="1161"/>
      <c r="AV26" s="1160"/>
      <c r="AW26" s="1161"/>
      <c r="AX26" s="1160"/>
      <c r="AY26" s="1160"/>
      <c r="AZ26" s="1159"/>
      <c r="BA26" s="1159"/>
      <c r="BB26" s="1167"/>
      <c r="BD26" s="1161"/>
      <c r="BE26" s="1168"/>
      <c r="BF26" s="1169"/>
      <c r="BG26" s="1168"/>
      <c r="BH26" s="1168"/>
      <c r="BI26" s="1169"/>
      <c r="BJ26" s="1169"/>
      <c r="BK26" s="1170"/>
      <c r="BL26" s="1058"/>
      <c r="BM26" s="1085"/>
      <c r="BN26" s="1086"/>
      <c r="BO26" s="1085"/>
      <c r="BP26" s="1085"/>
      <c r="BQ26" s="1086"/>
      <c r="BR26" s="1086"/>
      <c r="BS26" s="1171"/>
      <c r="BU26" s="1058"/>
      <c r="BV26" s="1085"/>
      <c r="BW26" s="1086"/>
      <c r="BX26" s="1085"/>
      <c r="BY26" s="1085"/>
      <c r="BZ26" s="1086"/>
      <c r="CA26" s="1086"/>
      <c r="CB26" s="1171"/>
      <c r="CD26" s="1058"/>
      <c r="CE26" s="1086"/>
      <c r="CF26" s="1086"/>
      <c r="CG26" s="1086"/>
      <c r="CH26" s="1086"/>
      <c r="CI26" s="1086"/>
      <c r="CJ26" s="1086"/>
      <c r="CK26" s="1171"/>
      <c r="CM26" s="1058"/>
      <c r="CN26" s="1085"/>
      <c r="CO26" s="1061"/>
      <c r="CP26" s="1060"/>
      <c r="CQ26" s="1060"/>
      <c r="CR26" s="1061"/>
      <c r="CS26" s="1061"/>
      <c r="CT26" s="1059"/>
      <c r="CV26" s="1058"/>
      <c r="CW26" s="1085"/>
      <c r="CX26" s="1061"/>
      <c r="CY26" s="1060"/>
      <c r="CZ26" s="1060"/>
      <c r="DA26" s="1061"/>
      <c r="DB26" s="1061"/>
      <c r="DC26" s="1059"/>
      <c r="DE26" s="1058"/>
      <c r="DF26" s="1085"/>
      <c r="DG26" s="1061"/>
      <c r="DH26" s="1060"/>
      <c r="DI26" s="1060"/>
      <c r="DJ26" s="1061"/>
      <c r="DK26" s="1061"/>
      <c r="DL26" s="1059"/>
      <c r="DN26" s="1058"/>
      <c r="DO26" s="1085"/>
      <c r="DP26" s="1061"/>
      <c r="DQ26" s="1060"/>
      <c r="DR26" s="1060"/>
      <c r="DS26" s="1061"/>
      <c r="DT26" s="1061"/>
      <c r="DU26" s="1059"/>
      <c r="DW26" s="1058"/>
      <c r="DX26" s="1085"/>
      <c r="DY26" s="1061"/>
      <c r="DZ26" s="1060"/>
      <c r="EA26" s="1060"/>
      <c r="EB26" s="1061"/>
      <c r="EC26" s="1061"/>
      <c r="ED26" s="1059"/>
      <c r="EF26" s="1058"/>
      <c r="EG26" s="1085"/>
      <c r="EH26" s="1061"/>
      <c r="EI26" s="1060"/>
      <c r="EJ26" s="1060"/>
      <c r="EK26" s="1061"/>
      <c r="EL26" s="1061"/>
      <c r="EM26" s="1059"/>
      <c r="EO26" s="1058"/>
      <c r="EP26" s="1085"/>
      <c r="EQ26" s="1061"/>
      <c r="ER26" s="1060"/>
      <c r="ES26" s="1060"/>
      <c r="ET26" s="1061"/>
      <c r="EU26" s="1061"/>
      <c r="EV26" s="1059"/>
      <c r="EX26" s="1058"/>
      <c r="EY26" s="1085"/>
      <c r="EZ26" s="1061"/>
      <c r="FA26" s="1060"/>
      <c r="FB26" s="1060"/>
      <c r="FC26" s="1061"/>
      <c r="FD26" s="1061"/>
      <c r="FE26" s="1059"/>
      <c r="FG26" s="1058"/>
      <c r="FH26" s="1085"/>
      <c r="FI26" s="1061"/>
      <c r="FJ26" s="1060"/>
      <c r="FK26" s="1060"/>
      <c r="FL26" s="1061"/>
      <c r="FM26" s="1061"/>
      <c r="FN26" s="1059"/>
      <c r="FP26" s="1058"/>
      <c r="FQ26" s="1085"/>
      <c r="FR26" s="1061"/>
      <c r="FS26" s="1060"/>
      <c r="FT26" s="1060"/>
      <c r="FU26" s="1061"/>
      <c r="FV26" s="1061"/>
      <c r="FW26" s="1059"/>
      <c r="FY26" s="1058"/>
      <c r="FZ26" s="1085"/>
      <c r="GA26" s="1061"/>
      <c r="GB26" s="1060"/>
      <c r="GC26" s="1060"/>
      <c r="GD26" s="1061"/>
      <c r="GE26" s="1061"/>
      <c r="GF26" s="1059"/>
      <c r="GH26" s="1058"/>
      <c r="GI26" s="1085"/>
      <c r="GJ26" s="1061"/>
      <c r="GK26" s="1060"/>
      <c r="GL26" s="1060"/>
      <c r="GM26" s="1061"/>
      <c r="GN26" s="1061"/>
      <c r="GO26" s="1059"/>
      <c r="GQ26" s="1058"/>
      <c r="GR26" s="1086"/>
      <c r="GS26" s="1061"/>
      <c r="GT26" s="1061"/>
      <c r="GU26" s="1061"/>
      <c r="GV26" s="1061"/>
      <c r="GW26" s="1061"/>
      <c r="GX26" s="1059"/>
      <c r="GZ26" s="1058"/>
      <c r="HA26" s="1086"/>
      <c r="HB26" s="1061"/>
      <c r="HC26" s="1060"/>
      <c r="HD26" s="1060"/>
      <c r="HE26" s="1061"/>
      <c r="HF26" s="1061"/>
      <c r="HG26" s="1059"/>
      <c r="HI26" s="1058"/>
      <c r="HJ26" s="1085"/>
      <c r="HK26" s="1060"/>
      <c r="HL26" s="1060"/>
      <c r="HM26" s="1060"/>
      <c r="HN26" s="1060"/>
      <c r="HO26" s="1060"/>
      <c r="HP26" s="1059"/>
      <c r="HR26" s="1058"/>
      <c r="HS26" s="1085"/>
      <c r="HT26" s="1060"/>
      <c r="HU26" s="1060"/>
      <c r="HV26" s="1060"/>
      <c r="HW26" s="1060"/>
      <c r="HX26" s="1060"/>
      <c r="HY26" s="1059"/>
      <c r="IA26" s="1058" t="s">
        <v>456</v>
      </c>
      <c r="IB26" s="1085"/>
      <c r="IC26" s="1061"/>
      <c r="ID26" s="1061"/>
      <c r="IE26" s="1061"/>
      <c r="IF26" s="1061">
        <f>1500+1900</f>
        <v>3400</v>
      </c>
      <c r="IG26" s="1060"/>
      <c r="IH26" s="1059">
        <f>SUM(IB26:IG26)</f>
        <v>3400</v>
      </c>
      <c r="IJ26" s="1067"/>
      <c r="IK26" s="1085"/>
      <c r="IL26" s="1060"/>
      <c r="IM26" s="1060"/>
      <c r="IN26" s="1060"/>
      <c r="IO26" s="1060"/>
      <c r="IP26" s="1060"/>
      <c r="IQ26" s="1059"/>
    </row>
    <row r="27" spans="2:251" ht="15.5" hidden="1" x14ac:dyDescent="0.35">
      <c r="B27" s="1179"/>
      <c r="C27" s="1180"/>
      <c r="D27" s="1179"/>
      <c r="E27" s="1180"/>
      <c r="F27" s="1180"/>
      <c r="G27" s="1180"/>
      <c r="H27" s="1180"/>
      <c r="I27" s="1181"/>
      <c r="J27" s="1162"/>
      <c r="K27" s="1179"/>
      <c r="L27" s="1180"/>
      <c r="M27" s="1179"/>
      <c r="N27" s="1180"/>
      <c r="O27" s="1180"/>
      <c r="P27" s="1179"/>
      <c r="Q27" s="1179"/>
      <c r="R27" s="1181"/>
      <c r="T27" s="1179"/>
      <c r="U27" s="1180"/>
      <c r="V27" s="1179"/>
      <c r="W27" s="1180"/>
      <c r="X27" s="1180"/>
      <c r="Y27" s="1179"/>
      <c r="Z27" s="1179"/>
      <c r="AA27" s="1181"/>
      <c r="AC27" s="1179"/>
      <c r="AD27" s="1180"/>
      <c r="AE27" s="1179"/>
      <c r="AF27" s="1180"/>
      <c r="AG27" s="1180"/>
      <c r="AH27" s="1179"/>
      <c r="AI27" s="1179"/>
      <c r="AJ27" s="1181"/>
      <c r="AL27" s="1179"/>
      <c r="AM27" s="1180"/>
      <c r="AN27" s="1179"/>
      <c r="AO27" s="1180"/>
      <c r="AP27" s="1180"/>
      <c r="AQ27" s="1179"/>
      <c r="AR27" s="1179"/>
      <c r="AS27" s="1181"/>
      <c r="AU27" s="1179"/>
      <c r="AV27" s="1180"/>
      <c r="AW27" s="1179"/>
      <c r="AX27" s="1180"/>
      <c r="AY27" s="1180"/>
      <c r="AZ27" s="1179"/>
      <c r="BA27" s="1179"/>
      <c r="BB27" s="1181"/>
      <c r="BD27" s="1181"/>
      <c r="BE27" s="1182"/>
      <c r="BF27" s="1183"/>
      <c r="BG27" s="1182"/>
      <c r="BH27" s="1182"/>
      <c r="BI27" s="1183"/>
      <c r="BJ27" s="1183"/>
      <c r="BK27" s="1183"/>
      <c r="BL27" s="1084"/>
      <c r="BM27" s="1082"/>
      <c r="BN27" s="1083"/>
      <c r="BO27" s="1082"/>
      <c r="BP27" s="1082"/>
      <c r="BQ27" s="1083"/>
      <c r="BR27" s="1083"/>
      <c r="BS27" s="1112"/>
      <c r="BU27" s="1084"/>
      <c r="BV27" s="1082"/>
      <c r="BW27" s="1083"/>
      <c r="BX27" s="1082"/>
      <c r="BY27" s="1082"/>
      <c r="BZ27" s="1083"/>
      <c r="CA27" s="1083"/>
      <c r="CB27" s="1112"/>
      <c r="CD27" s="1084"/>
      <c r="CE27" s="1083"/>
      <c r="CF27" s="1083"/>
      <c r="CG27" s="1083"/>
      <c r="CH27" s="1082"/>
      <c r="CI27" s="1083"/>
      <c r="CJ27" s="1083"/>
      <c r="CK27" s="1112"/>
      <c r="CM27" s="1084"/>
      <c r="CN27" s="1082"/>
      <c r="CO27" s="1056"/>
      <c r="CP27" s="1055"/>
      <c r="CQ27" s="1055"/>
      <c r="CR27" s="1056"/>
      <c r="CS27" s="1056"/>
      <c r="CT27" s="1054"/>
      <c r="CV27" s="1084"/>
      <c r="CW27" s="1082"/>
      <c r="CX27" s="1056"/>
      <c r="CY27" s="1055"/>
      <c r="CZ27" s="1055"/>
      <c r="DA27" s="1056"/>
      <c r="DB27" s="1056"/>
      <c r="DC27" s="1054"/>
      <c r="DE27" s="1084"/>
      <c r="DF27" s="1082"/>
      <c r="DG27" s="1056"/>
      <c r="DH27" s="1055"/>
      <c r="DI27" s="1055"/>
      <c r="DJ27" s="1056"/>
      <c r="DK27" s="1056"/>
      <c r="DL27" s="1054"/>
      <c r="DN27" s="1084"/>
      <c r="DO27" s="1082"/>
      <c r="DP27" s="1056"/>
      <c r="DQ27" s="1055"/>
      <c r="DR27" s="1055"/>
      <c r="DS27" s="1056"/>
      <c r="DT27" s="1056"/>
      <c r="DU27" s="1054"/>
      <c r="DW27" s="1084"/>
      <c r="DX27" s="1082"/>
      <c r="DY27" s="1056"/>
      <c r="DZ27" s="1055"/>
      <c r="EA27" s="1055"/>
      <c r="EB27" s="1056"/>
      <c r="EC27" s="1056"/>
      <c r="ED27" s="1054"/>
      <c r="EF27" s="1084"/>
      <c r="EG27" s="1082"/>
      <c r="EH27" s="1056"/>
      <c r="EI27" s="1055"/>
      <c r="EJ27" s="1055"/>
      <c r="EK27" s="1056"/>
      <c r="EL27" s="1056"/>
      <c r="EM27" s="1054"/>
      <c r="EO27" s="1084"/>
      <c r="EP27" s="1082"/>
      <c r="EQ27" s="1056"/>
      <c r="ER27" s="1055"/>
      <c r="ES27" s="1055"/>
      <c r="ET27" s="1056"/>
      <c r="EU27" s="1056"/>
      <c r="EV27" s="1054"/>
      <c r="EX27" s="1084"/>
      <c r="EY27" s="1082"/>
      <c r="EZ27" s="1056"/>
      <c r="FA27" s="1055"/>
      <c r="FB27" s="1055"/>
      <c r="FC27" s="1056"/>
      <c r="FD27" s="1056"/>
      <c r="FE27" s="1054"/>
      <c r="FG27" s="1084"/>
      <c r="FH27" s="1082"/>
      <c r="FI27" s="1056"/>
      <c r="FJ27" s="1055"/>
      <c r="FK27" s="1055"/>
      <c r="FL27" s="1056"/>
      <c r="FM27" s="1056"/>
      <c r="FN27" s="1054"/>
      <c r="FP27" s="1084"/>
      <c r="FQ27" s="1082"/>
      <c r="FR27" s="1056"/>
      <c r="FS27" s="1055"/>
      <c r="FT27" s="1055"/>
      <c r="FU27" s="1056"/>
      <c r="FV27" s="1056"/>
      <c r="FW27" s="1054"/>
      <c r="FY27" s="1084"/>
      <c r="FZ27" s="1082"/>
      <c r="GA27" s="1056"/>
      <c r="GB27" s="1055"/>
      <c r="GC27" s="1055"/>
      <c r="GD27" s="1056"/>
      <c r="GE27" s="1056"/>
      <c r="GF27" s="1054"/>
      <c r="GH27" s="1084"/>
      <c r="GI27" s="1082"/>
      <c r="GJ27" s="1056"/>
      <c r="GK27" s="1055"/>
      <c r="GL27" s="1055"/>
      <c r="GM27" s="1056"/>
      <c r="GN27" s="1056"/>
      <c r="GO27" s="1054"/>
      <c r="GQ27" s="1115"/>
      <c r="GR27" s="1083"/>
      <c r="GS27" s="1056"/>
      <c r="GT27" s="1056"/>
      <c r="GU27" s="1056"/>
      <c r="GV27" s="1056"/>
      <c r="GW27" s="1056"/>
      <c r="GX27" s="1059"/>
      <c r="GZ27" s="1084"/>
      <c r="HA27" s="1083"/>
      <c r="HB27" s="1056"/>
      <c r="HC27" s="1056"/>
      <c r="HD27" s="1056"/>
      <c r="HE27" s="1056"/>
      <c r="HF27" s="1056"/>
      <c r="HG27" s="1059"/>
      <c r="HI27" s="1084"/>
      <c r="HJ27" s="1082"/>
      <c r="HK27" s="1056"/>
      <c r="HL27" s="1056"/>
      <c r="HM27" s="1056"/>
      <c r="HN27" s="1055"/>
      <c r="HO27" s="1056"/>
      <c r="HP27" s="1054"/>
      <c r="HR27" s="1084"/>
      <c r="HS27" s="1083"/>
      <c r="HT27" s="1055"/>
      <c r="HU27" s="1056"/>
      <c r="HV27" s="1055"/>
      <c r="HW27" s="1056"/>
      <c r="HX27" s="1056"/>
      <c r="HY27" s="1054"/>
      <c r="IA27" s="1115"/>
      <c r="IB27" s="1083"/>
      <c r="IC27" s="1055"/>
      <c r="ID27" s="1055"/>
      <c r="IE27" s="1055"/>
      <c r="IF27" s="1055"/>
      <c r="IG27" s="1056"/>
      <c r="IH27" s="1054"/>
      <c r="IJ27" s="1115"/>
      <c r="IK27" s="1082"/>
      <c r="IL27" s="1056"/>
      <c r="IM27" s="1055"/>
      <c r="IN27" s="1055"/>
      <c r="IO27" s="1055"/>
      <c r="IP27" s="1055"/>
      <c r="IQ27" s="1054"/>
    </row>
    <row r="28" spans="2:251" ht="15" hidden="1" x14ac:dyDescent="0.3">
      <c r="B28" s="1181" t="s">
        <v>447</v>
      </c>
      <c r="C28" s="1184">
        <f t="shared" ref="C28:I28" si="28">SUM(C7:C27)</f>
        <v>5420</v>
      </c>
      <c r="D28" s="1184">
        <f t="shared" si="28"/>
        <v>29436</v>
      </c>
      <c r="E28" s="1184">
        <f t="shared" si="28"/>
        <v>42137</v>
      </c>
      <c r="F28" s="1184">
        <f t="shared" si="28"/>
        <v>21411</v>
      </c>
      <c r="G28" s="1184">
        <f t="shared" si="28"/>
        <v>28464</v>
      </c>
      <c r="H28" s="1184">
        <f t="shared" si="28"/>
        <v>648</v>
      </c>
      <c r="I28" s="1185">
        <f t="shared" si="28"/>
        <v>127516</v>
      </c>
      <c r="J28" s="1162"/>
      <c r="K28" s="1181" t="s">
        <v>447</v>
      </c>
      <c r="L28" s="1184">
        <f t="shared" ref="L28:R28" si="29">SUM(L7:L27)</f>
        <v>2100</v>
      </c>
      <c r="M28" s="1184">
        <f t="shared" si="29"/>
        <v>31915</v>
      </c>
      <c r="N28" s="1184">
        <f t="shared" si="29"/>
        <v>44023</v>
      </c>
      <c r="O28" s="1184">
        <f t="shared" si="29"/>
        <v>20967</v>
      </c>
      <c r="P28" s="1184">
        <f t="shared" si="29"/>
        <v>28362</v>
      </c>
      <c r="Q28" s="1184">
        <f t="shared" si="29"/>
        <v>1269</v>
      </c>
      <c r="R28" s="1185">
        <f t="shared" si="29"/>
        <v>128636</v>
      </c>
      <c r="T28" s="1181" t="s">
        <v>447</v>
      </c>
      <c r="U28" s="1184">
        <f t="shared" ref="U28:AA28" si="30">SUM(U7:U27)</f>
        <v>3155</v>
      </c>
      <c r="V28" s="1184">
        <f t="shared" si="30"/>
        <v>30627</v>
      </c>
      <c r="W28" s="1184">
        <f t="shared" si="30"/>
        <v>42336</v>
      </c>
      <c r="X28" s="1184">
        <f t="shared" si="30"/>
        <v>22085</v>
      </c>
      <c r="Y28" s="1184">
        <f t="shared" si="30"/>
        <v>28526</v>
      </c>
      <c r="Z28" s="1184">
        <f t="shared" si="30"/>
        <v>1269</v>
      </c>
      <c r="AA28" s="1185">
        <f t="shared" si="30"/>
        <v>127998</v>
      </c>
      <c r="AC28" s="1181" t="s">
        <v>447</v>
      </c>
      <c r="AD28" s="1184">
        <f t="shared" ref="AD28:AJ28" si="31">SUM(AD7:AD27)</f>
        <v>2300</v>
      </c>
      <c r="AE28" s="1184">
        <f t="shared" si="31"/>
        <v>31468</v>
      </c>
      <c r="AF28" s="1184">
        <f t="shared" si="31"/>
        <v>41943</v>
      </c>
      <c r="AG28" s="1184">
        <f t="shared" si="31"/>
        <v>22739</v>
      </c>
      <c r="AH28" s="1184">
        <f t="shared" si="31"/>
        <v>30074</v>
      </c>
      <c r="AI28" s="1184">
        <f t="shared" si="31"/>
        <v>1269</v>
      </c>
      <c r="AJ28" s="1185">
        <f t="shared" si="31"/>
        <v>129793</v>
      </c>
      <c r="AL28" s="1181" t="s">
        <v>447</v>
      </c>
      <c r="AM28" s="1184">
        <f t="shared" ref="AM28:AS28" si="32">SUM(AM7:AM27)</f>
        <v>2000</v>
      </c>
      <c r="AN28" s="1184">
        <f t="shared" si="32"/>
        <v>29756</v>
      </c>
      <c r="AO28" s="1184">
        <f t="shared" si="32"/>
        <v>43058</v>
      </c>
      <c r="AP28" s="1184">
        <f t="shared" si="32"/>
        <v>23154</v>
      </c>
      <c r="AQ28" s="1184">
        <f t="shared" si="32"/>
        <v>31361</v>
      </c>
      <c r="AR28" s="1184">
        <f t="shared" si="32"/>
        <v>1269</v>
      </c>
      <c r="AS28" s="1185">
        <f t="shared" si="32"/>
        <v>130598</v>
      </c>
      <c r="AU28" s="1181" t="s">
        <v>447</v>
      </c>
      <c r="AV28" s="1184">
        <f t="shared" ref="AV28:BB28" si="33">SUM(AV7:AV27)</f>
        <v>4246</v>
      </c>
      <c r="AW28" s="1184">
        <f t="shared" si="33"/>
        <v>32093</v>
      </c>
      <c r="AX28" s="1184">
        <f t="shared" si="33"/>
        <v>42612</v>
      </c>
      <c r="AY28" s="1184">
        <f t="shared" si="33"/>
        <v>23954</v>
      </c>
      <c r="AZ28" s="1184">
        <f t="shared" si="33"/>
        <v>32306</v>
      </c>
      <c r="BA28" s="1184">
        <f t="shared" si="33"/>
        <v>2269</v>
      </c>
      <c r="BB28" s="1185">
        <f t="shared" si="33"/>
        <v>137480</v>
      </c>
      <c r="BD28" s="1181" t="s">
        <v>447</v>
      </c>
      <c r="BE28" s="1182">
        <f t="shared" ref="BE28:BK28" si="34">SUM(BE7:BE27)</f>
        <v>1000</v>
      </c>
      <c r="BF28" s="1182">
        <f t="shared" si="34"/>
        <v>32664</v>
      </c>
      <c r="BG28" s="1182">
        <f t="shared" si="34"/>
        <v>44305</v>
      </c>
      <c r="BH28" s="1182">
        <f t="shared" si="34"/>
        <v>25474</v>
      </c>
      <c r="BI28" s="1182">
        <f t="shared" si="34"/>
        <v>32883</v>
      </c>
      <c r="BJ28" s="1182">
        <f t="shared" si="34"/>
        <v>2269</v>
      </c>
      <c r="BK28" s="1183">
        <f t="shared" si="34"/>
        <v>138595</v>
      </c>
      <c r="BL28" s="1053" t="s">
        <v>447</v>
      </c>
      <c r="BM28" s="1113">
        <f t="shared" ref="BM28:BS28" si="35">SUM(BM7:BM27)</f>
        <v>0</v>
      </c>
      <c r="BN28" s="1113">
        <f t="shared" si="35"/>
        <v>32655</v>
      </c>
      <c r="BO28" s="1113">
        <f t="shared" si="35"/>
        <v>43616</v>
      </c>
      <c r="BP28" s="1113">
        <f t="shared" si="35"/>
        <v>27686</v>
      </c>
      <c r="BQ28" s="1113">
        <f t="shared" si="35"/>
        <v>34334</v>
      </c>
      <c r="BR28" s="1113">
        <f t="shared" si="35"/>
        <v>2269</v>
      </c>
      <c r="BS28" s="1112">
        <f t="shared" si="35"/>
        <v>140560</v>
      </c>
      <c r="BU28" s="1053" t="s">
        <v>447</v>
      </c>
      <c r="BV28" s="1113">
        <f t="shared" ref="BV28:CB28" si="36">SUM(BV7:BV27)</f>
        <v>0</v>
      </c>
      <c r="BW28" s="1113">
        <f t="shared" si="36"/>
        <v>28711</v>
      </c>
      <c r="BX28" s="1113">
        <f t="shared" si="36"/>
        <v>43964</v>
      </c>
      <c r="BY28" s="1113">
        <f t="shared" si="36"/>
        <v>28546</v>
      </c>
      <c r="BZ28" s="1113">
        <f t="shared" si="36"/>
        <v>36761</v>
      </c>
      <c r="CA28" s="1113">
        <f t="shared" si="36"/>
        <v>2269</v>
      </c>
      <c r="CB28" s="1112">
        <f t="shared" si="36"/>
        <v>140251</v>
      </c>
      <c r="CD28" s="1053" t="s">
        <v>447</v>
      </c>
      <c r="CE28" s="1113">
        <f t="shared" ref="CE28:CK28" si="37">SUM(CE7:CE24)</f>
        <v>1607</v>
      </c>
      <c r="CF28" s="1113">
        <f t="shared" si="37"/>
        <v>29702</v>
      </c>
      <c r="CG28" s="1113">
        <f t="shared" si="37"/>
        <v>40157</v>
      </c>
      <c r="CH28" s="1113">
        <f t="shared" si="37"/>
        <v>29659</v>
      </c>
      <c r="CI28" s="1113">
        <f t="shared" si="37"/>
        <v>37337</v>
      </c>
      <c r="CJ28" s="1113">
        <f t="shared" si="37"/>
        <v>2568</v>
      </c>
      <c r="CK28" s="1112">
        <f t="shared" si="37"/>
        <v>141030</v>
      </c>
      <c r="CM28" s="1053" t="s">
        <v>447</v>
      </c>
      <c r="CN28" s="1113">
        <f t="shared" ref="CN28:CT28" si="38">SUM(CN7:CN27)</f>
        <v>0</v>
      </c>
      <c r="CO28" s="1186">
        <f t="shared" si="38"/>
        <v>31343</v>
      </c>
      <c r="CP28" s="1186">
        <f t="shared" si="38"/>
        <v>40048</v>
      </c>
      <c r="CQ28" s="1186">
        <f t="shared" si="38"/>
        <v>30109</v>
      </c>
      <c r="CR28" s="1186">
        <f t="shared" si="38"/>
        <v>38732</v>
      </c>
      <c r="CS28" s="1186">
        <f t="shared" si="38"/>
        <v>2568</v>
      </c>
      <c r="CT28" s="1054">
        <f t="shared" si="38"/>
        <v>142800</v>
      </c>
      <c r="CV28" s="1053" t="s">
        <v>447</v>
      </c>
      <c r="CW28" s="1113">
        <f t="shared" ref="CW28:DC28" si="39">SUM(CW7:CW27)</f>
        <v>19</v>
      </c>
      <c r="CX28" s="1186">
        <f t="shared" si="39"/>
        <v>29993</v>
      </c>
      <c r="CY28" s="1186">
        <f t="shared" si="39"/>
        <v>40680</v>
      </c>
      <c r="CZ28" s="1186">
        <f t="shared" si="39"/>
        <v>31034</v>
      </c>
      <c r="DA28" s="1186">
        <f t="shared" si="39"/>
        <v>38732</v>
      </c>
      <c r="DB28" s="1186">
        <f t="shared" si="39"/>
        <v>3568</v>
      </c>
      <c r="DC28" s="1054">
        <f t="shared" si="39"/>
        <v>144026</v>
      </c>
      <c r="DE28" s="1053" t="s">
        <v>447</v>
      </c>
      <c r="DF28" s="1113">
        <f t="shared" ref="DF28:DL28" si="40">SUM(DF7:DF27)</f>
        <v>0</v>
      </c>
      <c r="DG28" s="1186">
        <f t="shared" si="40"/>
        <v>29035</v>
      </c>
      <c r="DH28" s="1186">
        <f t="shared" si="40"/>
        <v>41522</v>
      </c>
      <c r="DI28" s="1186">
        <f t="shared" si="40"/>
        <v>32066</v>
      </c>
      <c r="DJ28" s="1186">
        <f t="shared" si="40"/>
        <v>42098</v>
      </c>
      <c r="DK28" s="1186">
        <f t="shared" si="40"/>
        <v>3568</v>
      </c>
      <c r="DL28" s="1054">
        <f t="shared" si="40"/>
        <v>148289</v>
      </c>
      <c r="DN28" s="1053" t="s">
        <v>447</v>
      </c>
      <c r="DO28" s="1113">
        <f t="shared" ref="DO28:DU28" si="41">SUM(DO7:DO27)</f>
        <v>1526</v>
      </c>
      <c r="DP28" s="1186">
        <f t="shared" si="41"/>
        <v>26372</v>
      </c>
      <c r="DQ28" s="1186">
        <f t="shared" si="41"/>
        <v>43251</v>
      </c>
      <c r="DR28" s="1186">
        <f t="shared" si="41"/>
        <v>33161</v>
      </c>
      <c r="DS28" s="1186">
        <f t="shared" si="41"/>
        <v>42508</v>
      </c>
      <c r="DT28" s="1186">
        <f t="shared" si="41"/>
        <v>3568</v>
      </c>
      <c r="DU28" s="1054">
        <f t="shared" si="41"/>
        <v>150386</v>
      </c>
      <c r="DW28" s="1053" t="s">
        <v>447</v>
      </c>
      <c r="DX28" s="1113">
        <f t="shared" ref="DX28:ED28" si="42">SUM(DX7:DX27)</f>
        <v>36</v>
      </c>
      <c r="DY28" s="1186">
        <f t="shared" si="42"/>
        <v>24195</v>
      </c>
      <c r="DZ28" s="1186">
        <f t="shared" si="42"/>
        <v>47154</v>
      </c>
      <c r="EA28" s="1186">
        <f t="shared" si="42"/>
        <v>33761</v>
      </c>
      <c r="EB28" s="1186">
        <f t="shared" si="42"/>
        <v>45308</v>
      </c>
      <c r="EC28" s="1186">
        <f t="shared" si="42"/>
        <v>3568</v>
      </c>
      <c r="ED28" s="1054">
        <f t="shared" si="42"/>
        <v>154022</v>
      </c>
      <c r="EF28" s="1053" t="s">
        <v>447</v>
      </c>
      <c r="EG28" s="1113">
        <f t="shared" ref="EG28:EM28" si="43">SUM(EG7:EG27)</f>
        <v>0</v>
      </c>
      <c r="EH28" s="1186">
        <f t="shared" si="43"/>
        <v>23376</v>
      </c>
      <c r="EI28" s="1186">
        <f t="shared" si="43"/>
        <v>50692</v>
      </c>
      <c r="EJ28" s="1186">
        <f t="shared" si="43"/>
        <v>34234</v>
      </c>
      <c r="EK28" s="1186">
        <f t="shared" si="43"/>
        <v>45525</v>
      </c>
      <c r="EL28" s="1186">
        <f t="shared" si="43"/>
        <v>3568</v>
      </c>
      <c r="EM28" s="1054">
        <f t="shared" si="43"/>
        <v>157395</v>
      </c>
      <c r="EO28" s="1053" t="s">
        <v>447</v>
      </c>
      <c r="EP28" s="1113">
        <f t="shared" ref="EP28:EV28" si="44">SUM(EP7:EP27)</f>
        <v>0</v>
      </c>
      <c r="EQ28" s="1113">
        <f t="shared" si="44"/>
        <v>21290</v>
      </c>
      <c r="ER28" s="1113">
        <f t="shared" si="44"/>
        <v>53059</v>
      </c>
      <c r="ES28" s="1113">
        <f t="shared" si="44"/>
        <v>33734</v>
      </c>
      <c r="ET28" s="1113">
        <f t="shared" si="44"/>
        <v>47248</v>
      </c>
      <c r="EU28" s="1113">
        <f t="shared" si="44"/>
        <v>4568</v>
      </c>
      <c r="EV28" s="1114">
        <f t="shared" si="44"/>
        <v>159899</v>
      </c>
      <c r="EX28" s="1053" t="s">
        <v>447</v>
      </c>
      <c r="EY28" s="1113">
        <f t="shared" ref="EY28:FE28" si="45">SUM(EY7:EY27)</f>
        <v>0</v>
      </c>
      <c r="EZ28" s="1113">
        <f t="shared" si="45"/>
        <v>22854</v>
      </c>
      <c r="FA28" s="1113">
        <f t="shared" si="45"/>
        <v>47911</v>
      </c>
      <c r="FB28" s="1113">
        <f t="shared" si="45"/>
        <v>36011</v>
      </c>
      <c r="FC28" s="1113">
        <f t="shared" si="45"/>
        <v>48754</v>
      </c>
      <c r="FD28" s="1113">
        <f t="shared" si="45"/>
        <v>4568</v>
      </c>
      <c r="FE28" s="1112">
        <f t="shared" si="45"/>
        <v>160098</v>
      </c>
      <c r="FG28" s="1053" t="s">
        <v>447</v>
      </c>
      <c r="FH28" s="1113">
        <f t="shared" ref="FH28:FN28" si="46">SUM(FH7:FH27)</f>
        <v>0</v>
      </c>
      <c r="FI28" s="1113">
        <f t="shared" si="46"/>
        <v>22144</v>
      </c>
      <c r="FJ28" s="1113">
        <f t="shared" si="46"/>
        <v>49679</v>
      </c>
      <c r="FK28" s="1113">
        <f t="shared" si="46"/>
        <v>37511</v>
      </c>
      <c r="FL28" s="1113">
        <f t="shared" si="46"/>
        <v>50262</v>
      </c>
      <c r="FM28" s="1113">
        <f t="shared" si="46"/>
        <v>4568</v>
      </c>
      <c r="FN28" s="1112">
        <f t="shared" si="46"/>
        <v>164164</v>
      </c>
      <c r="FP28" s="1053" t="s">
        <v>447</v>
      </c>
      <c r="FQ28" s="1078">
        <f t="shared" ref="FQ28:FW28" si="47">SUM(FQ7:FQ27)</f>
        <v>114</v>
      </c>
      <c r="FR28" s="1078">
        <f t="shared" si="47"/>
        <v>23754</v>
      </c>
      <c r="FS28" s="1078">
        <f t="shared" si="47"/>
        <v>49614</v>
      </c>
      <c r="FT28" s="1078">
        <f t="shared" si="47"/>
        <v>35254</v>
      </c>
      <c r="FU28" s="1078">
        <f t="shared" si="47"/>
        <v>53874</v>
      </c>
      <c r="FV28" s="1078">
        <f t="shared" si="47"/>
        <v>5768</v>
      </c>
      <c r="FW28" s="1078">
        <f t="shared" si="47"/>
        <v>168378</v>
      </c>
      <c r="FY28" s="1053" t="s">
        <v>447</v>
      </c>
      <c r="FZ28" s="1078">
        <v>0</v>
      </c>
      <c r="GA28" s="1078">
        <f>SUM(GA7:GA27)</f>
        <v>24374</v>
      </c>
      <c r="GB28" s="1078">
        <f>SUM(GB7:GB27)</f>
        <v>51064</v>
      </c>
      <c r="GC28" s="1078">
        <f>SUM(GC7:GC27)</f>
        <v>36554</v>
      </c>
      <c r="GD28" s="1078">
        <f>SUM(GD7:GD27)</f>
        <v>56685</v>
      </c>
      <c r="GE28" s="1078">
        <f>SUM(GE7:GE27)</f>
        <v>5768</v>
      </c>
      <c r="GF28" s="1078">
        <f>SUM(FZ28:GE28)</f>
        <v>174445</v>
      </c>
      <c r="GH28" s="1077" t="s">
        <v>447</v>
      </c>
      <c r="GI28" s="1078">
        <v>0</v>
      </c>
      <c r="GJ28" s="1078">
        <f>SUM(GJ7:GJ27)</f>
        <v>22517</v>
      </c>
      <c r="GK28" s="1078">
        <f>SUM(GK7:GK27)</f>
        <v>51111</v>
      </c>
      <c r="GL28" s="1078">
        <f>SUM(GL7:GL27)</f>
        <v>39008</v>
      </c>
      <c r="GM28" s="1078">
        <f>SUM(GM7:GM27)</f>
        <v>57463</v>
      </c>
      <c r="GN28" s="1078">
        <f>SUM(GN7:GN27)</f>
        <v>5768</v>
      </c>
      <c r="GO28" s="1078">
        <f>SUM(GI28:GN28)</f>
        <v>175867</v>
      </c>
      <c r="GQ28" s="1111" t="s">
        <v>447</v>
      </c>
      <c r="GR28" s="1078">
        <v>0</v>
      </c>
      <c r="GS28" s="1078">
        <f>SUM(GS7:GS23)</f>
        <v>23912</v>
      </c>
      <c r="GT28" s="1078">
        <f>SUM(GT7:GT23)</f>
        <v>49711</v>
      </c>
      <c r="GU28" s="1078">
        <f>SUM(GU7:GU23)</f>
        <v>40508</v>
      </c>
      <c r="GV28" s="1078">
        <f>SUM(GV7:GV24)</f>
        <v>58270</v>
      </c>
      <c r="GW28" s="1078">
        <f>SUM(GW7:GW23)</f>
        <v>7268</v>
      </c>
      <c r="GX28" s="1078">
        <f>SUM(GR28:GW28)</f>
        <v>179669</v>
      </c>
      <c r="GZ28" s="1111" t="s">
        <v>447</v>
      </c>
      <c r="HA28" s="1078">
        <v>0</v>
      </c>
      <c r="HB28" s="1078">
        <f>SUM(HB7:HB22)</f>
        <v>23110</v>
      </c>
      <c r="HC28" s="1078">
        <f>SUM(HC7:HC22)</f>
        <v>49131</v>
      </c>
      <c r="HD28" s="1078">
        <f>SUM(HD7:HD22)</f>
        <v>43308</v>
      </c>
      <c r="HE28" s="1078">
        <f>SUM(HE7:HE23)</f>
        <v>62514</v>
      </c>
      <c r="HF28" s="1078">
        <f>SUM(HF7:HF22)</f>
        <v>7117</v>
      </c>
      <c r="HG28" s="1078">
        <f>SUM(HA28:HF28)</f>
        <v>185180</v>
      </c>
      <c r="HI28" s="1111" t="s">
        <v>447</v>
      </c>
      <c r="HJ28" s="1078">
        <f t="shared" ref="HJ28:HP28" si="48">SUM(HJ7:HJ25)</f>
        <v>0</v>
      </c>
      <c r="HK28" s="1078">
        <f t="shared" si="48"/>
        <v>22623</v>
      </c>
      <c r="HL28" s="1078">
        <f t="shared" si="48"/>
        <v>48886</v>
      </c>
      <c r="HM28" s="1078">
        <f t="shared" si="48"/>
        <v>42186</v>
      </c>
      <c r="HN28" s="1078">
        <f t="shared" si="48"/>
        <v>66285</v>
      </c>
      <c r="HO28" s="1078">
        <f t="shared" si="48"/>
        <v>7117</v>
      </c>
      <c r="HP28" s="1078">
        <f t="shared" si="48"/>
        <v>187097</v>
      </c>
      <c r="HR28" s="1111" t="s">
        <v>447</v>
      </c>
      <c r="HS28" s="1078">
        <f t="shared" ref="HS28:HY28" si="49">SUM(HS7:HS25)</f>
        <v>0</v>
      </c>
      <c r="HT28" s="1078">
        <f t="shared" si="49"/>
        <v>23939</v>
      </c>
      <c r="HU28" s="1078">
        <f t="shared" si="49"/>
        <v>52776</v>
      </c>
      <c r="HV28" s="1078">
        <f t="shared" si="49"/>
        <v>45386</v>
      </c>
      <c r="HW28" s="1078">
        <f t="shared" si="49"/>
        <v>66982</v>
      </c>
      <c r="HX28" s="1078">
        <f t="shared" si="49"/>
        <v>7117</v>
      </c>
      <c r="HY28" s="1078">
        <f t="shared" si="49"/>
        <v>196200</v>
      </c>
      <c r="IA28" s="1111" t="s">
        <v>447</v>
      </c>
      <c r="IB28" s="1078">
        <f t="shared" ref="IB28:IH28" si="50">SUM(IB7:IB26)</f>
        <v>0</v>
      </c>
      <c r="IC28" s="1078">
        <f t="shared" si="50"/>
        <v>24971</v>
      </c>
      <c r="ID28" s="1078">
        <f t="shared" si="50"/>
        <v>51651</v>
      </c>
      <c r="IE28" s="1078">
        <f t="shared" si="50"/>
        <v>47686</v>
      </c>
      <c r="IF28" s="1078">
        <f t="shared" si="50"/>
        <v>70851</v>
      </c>
      <c r="IG28" s="1078">
        <f t="shared" si="50"/>
        <v>7117</v>
      </c>
      <c r="IH28" s="1078">
        <f t="shared" si="50"/>
        <v>202276</v>
      </c>
      <c r="IJ28" s="1111" t="s">
        <v>447</v>
      </c>
      <c r="IK28" s="1078">
        <f t="shared" ref="IK28:IQ28" si="51">SUM(IK7:IK24)</f>
        <v>0</v>
      </c>
      <c r="IL28" s="1078">
        <f t="shared" si="51"/>
        <v>25831</v>
      </c>
      <c r="IM28" s="1078">
        <f t="shared" si="51"/>
        <v>52151</v>
      </c>
      <c r="IN28" s="1078">
        <f t="shared" si="51"/>
        <v>48564</v>
      </c>
      <c r="IO28" s="1078">
        <f t="shared" si="51"/>
        <v>70851</v>
      </c>
      <c r="IP28" s="1078">
        <f t="shared" si="51"/>
        <v>7717</v>
      </c>
      <c r="IQ28" s="1078">
        <f t="shared" si="51"/>
        <v>205114</v>
      </c>
    </row>
    <row r="29" spans="2:251" ht="15.5" hidden="1" x14ac:dyDescent="0.35">
      <c r="B29" s="1175"/>
      <c r="K29" s="1175"/>
      <c r="T29" s="1175"/>
      <c r="AC29" s="1175"/>
      <c r="AJ29" s="1153"/>
      <c r="AL29" s="1175"/>
      <c r="AU29" s="1187"/>
      <c r="AV29" s="1153"/>
      <c r="AW29" s="1153"/>
      <c r="AX29" s="1153"/>
      <c r="AY29" s="1153"/>
      <c r="AZ29" s="1153"/>
      <c r="BA29" s="1153"/>
      <c r="BD29" s="1175"/>
      <c r="BK29" s="1153"/>
      <c r="BL29" s="1130"/>
      <c r="BM29" s="1071"/>
      <c r="BN29" s="1071"/>
      <c r="BO29" s="1071"/>
      <c r="BP29" s="1071"/>
      <c r="BQ29" s="1071"/>
      <c r="BR29" s="1071"/>
      <c r="BS29" s="1071"/>
      <c r="BU29" s="1131"/>
      <c r="BV29" s="865"/>
      <c r="BW29" s="865"/>
      <c r="BX29" s="865"/>
      <c r="BY29" s="865"/>
      <c r="BZ29" s="865"/>
      <c r="CA29" s="865"/>
      <c r="CB29" s="865"/>
      <c r="CD29" s="1131"/>
      <c r="CE29" s="865"/>
      <c r="CF29" s="865"/>
      <c r="CG29" s="865"/>
      <c r="CH29" s="865"/>
      <c r="CI29" s="865"/>
      <c r="CJ29" s="865"/>
      <c r="CK29" s="865"/>
      <c r="CM29" s="1131"/>
      <c r="CN29" s="865"/>
      <c r="CO29" s="865"/>
      <c r="CP29" s="865"/>
      <c r="CQ29" s="865"/>
      <c r="CR29" s="865"/>
      <c r="CS29" s="865"/>
      <c r="CT29" s="865"/>
      <c r="CV29" s="1131"/>
      <c r="CW29" s="865"/>
      <c r="CX29" s="865"/>
      <c r="CY29" s="865"/>
      <c r="CZ29" s="865"/>
      <c r="DA29" s="865"/>
      <c r="DB29" s="865"/>
      <c r="DC29" s="865"/>
      <c r="DE29" s="1131"/>
      <c r="DF29" s="865"/>
      <c r="DG29" s="865"/>
      <c r="DH29" s="865"/>
      <c r="DI29" s="865"/>
      <c r="DJ29" s="865"/>
      <c r="DK29" s="865"/>
      <c r="DL29" s="865"/>
      <c r="DN29" s="1131"/>
      <c r="DO29" s="865"/>
      <c r="DP29" s="865"/>
      <c r="DQ29" s="865"/>
      <c r="DR29" s="865"/>
      <c r="DS29" s="865"/>
      <c r="DT29" s="865"/>
      <c r="DU29" s="865"/>
      <c r="DW29" s="1131"/>
      <c r="DX29" s="865"/>
      <c r="DY29" s="865"/>
      <c r="DZ29" s="865"/>
      <c r="EA29" s="865"/>
      <c r="EB29" s="865"/>
      <c r="EC29" s="865"/>
      <c r="ED29" s="865"/>
      <c r="EF29" s="1131"/>
      <c r="EG29" s="865"/>
      <c r="EH29" s="865"/>
      <c r="EI29" s="865"/>
      <c r="EJ29" s="865"/>
      <c r="EK29" s="865"/>
      <c r="EL29" s="865"/>
      <c r="EM29" s="865"/>
      <c r="EO29" s="1131"/>
      <c r="EP29" s="865"/>
      <c r="EQ29" s="865"/>
      <c r="ER29" s="865"/>
      <c r="ES29" s="865"/>
      <c r="ET29" s="865"/>
      <c r="EU29" s="865"/>
      <c r="EV29" s="865"/>
      <c r="EX29" s="1131"/>
      <c r="EY29" s="865"/>
      <c r="EZ29" s="865"/>
      <c r="FA29" s="865"/>
      <c r="FB29" s="865"/>
      <c r="FC29" s="865"/>
      <c r="FD29" s="865"/>
      <c r="FE29" s="865"/>
      <c r="FG29" s="1131"/>
      <c r="FH29" s="865"/>
      <c r="FI29" s="865"/>
      <c r="FJ29" s="865"/>
      <c r="FK29" s="865"/>
      <c r="FL29" s="865"/>
      <c r="FM29" s="865"/>
      <c r="FN29" s="865"/>
      <c r="FP29" s="1131"/>
      <c r="FQ29" s="865"/>
      <c r="FR29" s="865"/>
      <c r="FS29" s="865"/>
      <c r="FT29" s="865"/>
      <c r="FU29" s="865"/>
      <c r="FV29" s="865"/>
      <c r="FW29" s="865"/>
      <c r="FY29" s="1131"/>
      <c r="FZ29" s="865"/>
      <c r="GA29" s="865"/>
      <c r="GB29" s="865"/>
      <c r="GC29" s="865"/>
      <c r="GD29" s="865"/>
      <c r="GE29" s="865"/>
      <c r="GF29" s="865"/>
      <c r="GH29" s="1131"/>
      <c r="GI29" s="865"/>
      <c r="GJ29" s="865"/>
      <c r="GK29" s="865"/>
      <c r="GL29" s="865"/>
      <c r="GM29" s="865"/>
      <c r="GN29" s="865"/>
      <c r="GO29" s="865"/>
      <c r="GQ29" s="1131"/>
      <c r="GR29" s="865"/>
      <c r="GS29" s="865"/>
      <c r="GT29" s="865"/>
      <c r="GU29" s="865"/>
      <c r="GV29" s="865"/>
      <c r="GW29" s="865"/>
      <c r="GX29" s="865"/>
      <c r="GZ29" s="1131"/>
      <c r="HA29" s="865"/>
      <c r="HB29" s="865"/>
      <c r="HC29" s="865"/>
      <c r="HD29" s="865"/>
      <c r="HE29" s="865"/>
      <c r="HF29" s="865"/>
      <c r="HG29" s="865"/>
      <c r="HI29" s="1131"/>
      <c r="HJ29" s="865"/>
      <c r="HK29" s="865"/>
      <c r="HL29" s="865"/>
      <c r="HM29" s="865"/>
      <c r="HN29" s="865"/>
      <c r="HO29" s="865"/>
      <c r="HP29" s="865"/>
      <c r="HR29" s="1131"/>
      <c r="HS29" s="865"/>
      <c r="HT29" s="865"/>
      <c r="HU29" s="865"/>
      <c r="HV29" s="865"/>
      <c r="HW29" s="865"/>
      <c r="HX29" s="865"/>
      <c r="HY29" s="865"/>
      <c r="IA29" s="1131"/>
      <c r="IB29" s="865"/>
      <c r="IC29" s="865"/>
      <c r="ID29" s="865"/>
      <c r="IE29" s="865"/>
      <c r="IF29" s="865"/>
      <c r="IG29" s="865"/>
      <c r="IH29" s="865"/>
      <c r="IJ29" s="1131"/>
      <c r="IK29" s="865"/>
      <c r="IL29" s="865"/>
      <c r="IM29" s="865"/>
      <c r="IN29" s="865"/>
      <c r="IO29" s="865"/>
      <c r="IP29" s="865"/>
      <c r="IQ29" s="865"/>
    </row>
    <row r="30" spans="2:251" ht="15.5" hidden="1" x14ac:dyDescent="0.35">
      <c r="B30" s="1188" t="s">
        <v>956</v>
      </c>
      <c r="K30" s="1188" t="s">
        <v>956</v>
      </c>
      <c r="T30" s="1188" t="s">
        <v>956</v>
      </c>
      <c r="AC30" s="1188" t="s">
        <v>956</v>
      </c>
      <c r="AL30" s="1188" t="s">
        <v>956</v>
      </c>
      <c r="AU30" s="1188" t="s">
        <v>956</v>
      </c>
      <c r="BD30" s="1188" t="s">
        <v>955</v>
      </c>
      <c r="BL30" s="865" t="s">
        <v>955</v>
      </c>
      <c r="BM30" s="865"/>
      <c r="BN30" s="865"/>
      <c r="BO30" s="865"/>
      <c r="BP30" s="865"/>
      <c r="BQ30" s="865"/>
      <c r="BR30" s="865"/>
      <c r="BS30" s="865"/>
      <c r="BU30" s="865" t="s">
        <v>955</v>
      </c>
      <c r="BV30" s="865"/>
      <c r="BW30" s="865"/>
      <c r="BX30" s="865"/>
      <c r="BY30" s="865"/>
      <c r="BZ30" s="865"/>
      <c r="CA30" s="865"/>
      <c r="CB30" s="865"/>
      <c r="CD30" s="865" t="s">
        <v>955</v>
      </c>
      <c r="CE30" s="865"/>
      <c r="CF30" s="865"/>
      <c r="CG30" s="865"/>
      <c r="CH30" s="865"/>
      <c r="CI30" s="865"/>
      <c r="CJ30" s="865"/>
      <c r="CK30" s="865"/>
      <c r="CM30" s="865" t="s">
        <v>955</v>
      </c>
      <c r="CN30" s="865"/>
      <c r="CO30" s="865"/>
      <c r="CP30" s="865"/>
      <c r="CQ30" s="865"/>
      <c r="CR30" s="865"/>
      <c r="CS30" s="865"/>
      <c r="CT30" s="865"/>
      <c r="CV30" s="105" t="s">
        <v>955</v>
      </c>
      <c r="CW30" s="865"/>
      <c r="CX30" s="865"/>
      <c r="CY30" s="865"/>
      <c r="CZ30" s="865"/>
      <c r="DA30" s="865"/>
      <c r="DB30" s="865"/>
      <c r="DC30" s="865"/>
      <c r="DE30" s="835" t="s">
        <v>946</v>
      </c>
      <c r="DF30" s="865"/>
      <c r="DG30" s="865"/>
      <c r="DH30" s="865"/>
      <c r="DI30" s="865"/>
      <c r="DJ30" s="865"/>
      <c r="DK30" s="865"/>
      <c r="DL30" s="865"/>
      <c r="DN30" s="835" t="s">
        <v>946</v>
      </c>
      <c r="DO30" s="865"/>
      <c r="DP30" s="865"/>
      <c r="DQ30" s="865"/>
      <c r="DR30" s="865"/>
      <c r="DS30" s="865"/>
      <c r="DT30" s="865"/>
      <c r="DU30" s="865"/>
      <c r="DW30" s="835" t="s">
        <v>946</v>
      </c>
      <c r="DX30" s="865"/>
      <c r="DY30" s="865"/>
      <c r="DZ30" s="865"/>
      <c r="EA30" s="865"/>
      <c r="EB30" s="865"/>
      <c r="EC30" s="865"/>
      <c r="ED30" s="865"/>
      <c r="EF30" s="835" t="s">
        <v>946</v>
      </c>
      <c r="EG30" s="865"/>
      <c r="EH30" s="865"/>
      <c r="EI30" s="865"/>
      <c r="EJ30" s="865"/>
      <c r="EK30" s="865"/>
      <c r="EL30" s="865"/>
      <c r="EM30" s="865"/>
      <c r="EO30" s="1071" t="s">
        <v>954</v>
      </c>
      <c r="EP30" s="103"/>
      <c r="EQ30" s="1071"/>
      <c r="ER30" s="1071"/>
      <c r="ES30" s="103"/>
      <c r="ET30" s="1130"/>
      <c r="EU30" s="1051"/>
      <c r="EV30" s="103"/>
      <c r="EX30" s="1071" t="s">
        <v>954</v>
      </c>
      <c r="EY30" s="103"/>
      <c r="EZ30" s="1071"/>
      <c r="FA30" s="1071"/>
      <c r="FB30" s="103"/>
      <c r="FC30" s="1130"/>
      <c r="FD30" s="1051"/>
      <c r="FE30" s="103"/>
      <c r="FG30" s="1071" t="s">
        <v>954</v>
      </c>
      <c r="FH30" s="103"/>
      <c r="FI30" s="1071"/>
      <c r="FJ30" s="1071"/>
      <c r="FK30" s="103"/>
      <c r="FL30" s="1130"/>
      <c r="FM30" s="1051"/>
      <c r="FN30" s="103"/>
      <c r="FP30" s="1071" t="s">
        <v>954</v>
      </c>
      <c r="FQ30" s="103"/>
      <c r="FR30" s="1071"/>
      <c r="FS30" s="1071"/>
      <c r="FT30" s="103"/>
      <c r="FU30" s="1130"/>
      <c r="FV30" s="1051"/>
      <c r="FW30" s="103"/>
      <c r="FY30" s="1071" t="s">
        <v>929</v>
      </c>
      <c r="FZ30" s="103"/>
      <c r="GA30" s="1071"/>
      <c r="GB30" s="1071"/>
      <c r="GC30" s="103"/>
      <c r="GD30" s="1130"/>
      <c r="GE30" s="1051"/>
      <c r="GF30" s="103"/>
      <c r="GH30" s="1071" t="s">
        <v>929</v>
      </c>
      <c r="GI30" s="103"/>
      <c r="GJ30" s="1071"/>
      <c r="GK30" s="1071"/>
      <c r="GL30" s="103"/>
      <c r="GM30" s="1130"/>
      <c r="GN30" s="1051"/>
      <c r="GO30" s="103"/>
      <c r="GQ30" s="1071" t="s">
        <v>929</v>
      </c>
      <c r="GR30" s="103"/>
      <c r="GS30" s="1071"/>
      <c r="GT30" s="1071"/>
      <c r="GU30" s="103"/>
      <c r="GV30" s="1130"/>
      <c r="GW30" s="1051"/>
      <c r="GX30" s="103"/>
      <c r="GZ30" s="1071" t="s">
        <v>929</v>
      </c>
      <c r="HA30" s="103"/>
      <c r="HB30" s="1071"/>
      <c r="HC30" s="1071"/>
      <c r="HD30" s="103"/>
      <c r="HE30" s="1130"/>
      <c r="HF30" s="1051"/>
      <c r="HG30" s="103"/>
      <c r="HI30" s="1071" t="s">
        <v>929</v>
      </c>
      <c r="HJ30" s="103"/>
      <c r="HK30" s="1071"/>
      <c r="HL30" s="1071"/>
      <c r="HM30" s="103"/>
      <c r="HN30" s="1130"/>
      <c r="HO30" s="1051"/>
      <c r="HP30" s="103"/>
      <c r="HR30" s="1071" t="s">
        <v>929</v>
      </c>
      <c r="HS30" s="103"/>
      <c r="HT30" s="1071"/>
      <c r="HU30" s="1071"/>
      <c r="HV30" s="103"/>
      <c r="HW30" s="1130"/>
      <c r="HX30" s="1051"/>
      <c r="HY30" s="103"/>
      <c r="IA30" s="1071" t="s">
        <v>929</v>
      </c>
      <c r="IB30" s="103"/>
      <c r="IC30" s="1071"/>
      <c r="ID30" s="1071"/>
      <c r="IE30" s="103"/>
      <c r="IF30" s="1130"/>
      <c r="IG30" s="1051"/>
      <c r="IH30" s="103"/>
      <c r="IJ30" s="1071" t="s">
        <v>929</v>
      </c>
      <c r="IK30" s="103"/>
      <c r="IL30" s="1071"/>
      <c r="IM30" s="1071"/>
      <c r="IN30" s="103"/>
      <c r="IO30" s="1130"/>
      <c r="IP30" s="1051"/>
      <c r="IQ30" s="103"/>
    </row>
    <row r="31" spans="2:251" ht="15.5" hidden="1" x14ac:dyDescent="0.35">
      <c r="B31" s="1189" t="s">
        <v>953</v>
      </c>
      <c r="K31" s="1189" t="s">
        <v>953</v>
      </c>
      <c r="T31" s="1189" t="s">
        <v>953</v>
      </c>
      <c r="AC31" s="1189" t="s">
        <v>953</v>
      </c>
      <c r="AL31" s="1189" t="s">
        <v>953</v>
      </c>
      <c r="AU31" s="1189" t="s">
        <v>953</v>
      </c>
      <c r="EO31" s="1071"/>
      <c r="EP31" s="1071"/>
      <c r="EQ31" s="1071"/>
      <c r="ER31" s="1071"/>
      <c r="ES31" s="1130" t="s">
        <v>144</v>
      </c>
      <c r="ET31" s="1130"/>
      <c r="EU31" s="1051"/>
      <c r="EV31" s="103"/>
      <c r="EX31" s="1071"/>
      <c r="EY31" s="1071"/>
      <c r="EZ31" s="1071"/>
      <c r="FA31" s="1071"/>
      <c r="FB31" s="1130"/>
      <c r="FC31" s="1130" t="s">
        <v>144</v>
      </c>
      <c r="FD31" s="1051"/>
      <c r="FE31" s="103"/>
      <c r="FG31" s="1071"/>
      <c r="FH31" s="1071"/>
      <c r="FI31" s="1071"/>
      <c r="FJ31" s="1071"/>
      <c r="FK31" s="1130"/>
      <c r="FL31" s="1130" t="s">
        <v>144</v>
      </c>
      <c r="FM31" s="1051"/>
      <c r="FN31" s="103"/>
      <c r="FP31" s="1071"/>
      <c r="FQ31" s="1071"/>
      <c r="FR31" s="1071"/>
      <c r="FS31" s="1071"/>
      <c r="FT31" s="1130"/>
      <c r="FU31" s="1130" t="s">
        <v>144</v>
      </c>
      <c r="FV31" s="1051"/>
      <c r="FW31" s="103"/>
      <c r="FY31" s="1071"/>
      <c r="FZ31" s="1071"/>
      <c r="GA31" s="1071"/>
      <c r="GB31" s="1071"/>
      <c r="GC31" s="1130"/>
      <c r="GD31" s="1130"/>
      <c r="GE31" s="1051"/>
      <c r="GF31" s="103"/>
      <c r="GH31" s="1071"/>
      <c r="GI31" s="1071"/>
      <c r="GJ31" s="1071"/>
      <c r="GK31" s="1071"/>
      <c r="GL31" s="1130"/>
      <c r="GM31" s="1130"/>
      <c r="GN31" s="1051"/>
      <c r="GO31" s="103"/>
      <c r="GQ31" s="1071"/>
      <c r="GR31" s="1071"/>
      <c r="GS31" s="1071"/>
      <c r="GT31" s="1071"/>
      <c r="GU31" s="1130"/>
      <c r="GV31" s="1130"/>
      <c r="GW31" s="1051"/>
      <c r="GX31" s="103"/>
      <c r="GZ31" s="1071"/>
      <c r="HA31" s="1071"/>
      <c r="HB31" s="1071"/>
      <c r="HC31" s="1071"/>
      <c r="HD31" s="1130"/>
      <c r="HE31" s="1130"/>
      <c r="HF31" s="1051"/>
      <c r="HG31" s="103"/>
      <c r="HI31" s="1071"/>
      <c r="HJ31" s="1071"/>
      <c r="HK31" s="1071"/>
      <c r="HL31" s="1071"/>
      <c r="HM31" s="1130"/>
      <c r="HN31" s="1130"/>
      <c r="HO31" s="1051"/>
      <c r="HP31" s="103"/>
      <c r="HR31" s="1071"/>
      <c r="HS31" s="1071"/>
      <c r="HT31" s="1071"/>
      <c r="HU31" s="1071"/>
      <c r="HV31" s="1130"/>
      <c r="HW31" s="1130"/>
      <c r="HX31" s="1051"/>
      <c r="HY31" s="103"/>
      <c r="IA31" s="1071"/>
      <c r="IB31" s="1071"/>
      <c r="IC31" s="1071"/>
      <c r="ID31" s="1071"/>
      <c r="IE31" s="1130"/>
      <c r="IF31" s="1130"/>
      <c r="IG31" s="1051"/>
      <c r="IH31" s="103"/>
      <c r="IJ31" s="1071"/>
      <c r="IK31" s="1071"/>
      <c r="IL31" s="1071"/>
      <c r="IM31" s="1071"/>
      <c r="IN31" s="1130"/>
      <c r="IO31" s="1130"/>
      <c r="IP31" s="1051"/>
      <c r="IQ31" s="103"/>
    </row>
    <row r="32" spans="2:251" ht="60" hidden="1" customHeight="1" x14ac:dyDescent="0.35">
      <c r="EO32" s="1069" t="s">
        <v>472</v>
      </c>
      <c r="EP32" s="1069" t="s">
        <v>927</v>
      </c>
      <c r="EQ32" s="1070" t="s">
        <v>952</v>
      </c>
      <c r="ER32" s="1070" t="s">
        <v>951</v>
      </c>
      <c r="ES32" s="1069" t="s">
        <v>447</v>
      </c>
      <c r="ET32" s="103"/>
      <c r="EU32" s="103"/>
      <c r="EV32" s="103"/>
      <c r="EX32" s="1069" t="s">
        <v>472</v>
      </c>
      <c r="EY32" s="1069" t="s">
        <v>927</v>
      </c>
      <c r="EZ32" s="1070" t="s">
        <v>926</v>
      </c>
      <c r="FA32" s="1070" t="s">
        <v>925</v>
      </c>
      <c r="FB32" s="1070" t="s">
        <v>924</v>
      </c>
      <c r="FC32" s="1069" t="s">
        <v>447</v>
      </c>
      <c r="FD32" s="103"/>
      <c r="FE32" s="103"/>
      <c r="FG32" s="1069" t="s">
        <v>472</v>
      </c>
      <c r="FH32" s="1069" t="s">
        <v>927</v>
      </c>
      <c r="FI32" s="1070" t="s">
        <v>926</v>
      </c>
      <c r="FJ32" s="1070" t="s">
        <v>925</v>
      </c>
      <c r="FK32" s="1070" t="s">
        <v>924</v>
      </c>
      <c r="FL32" s="1069" t="s">
        <v>447</v>
      </c>
      <c r="FM32" s="103"/>
      <c r="FN32" s="103"/>
      <c r="FP32" s="1069" t="s">
        <v>472</v>
      </c>
      <c r="FQ32" s="1069" t="s">
        <v>927</v>
      </c>
      <c r="FR32" s="1070" t="s">
        <v>926</v>
      </c>
      <c r="FS32" s="1070" t="s">
        <v>925</v>
      </c>
      <c r="FT32" s="1070" t="s">
        <v>924</v>
      </c>
      <c r="FU32" s="1069" t="s">
        <v>447</v>
      </c>
      <c r="FV32" s="103"/>
      <c r="FW32" s="103"/>
      <c r="FY32" s="1069" t="s">
        <v>472</v>
      </c>
      <c r="FZ32" s="1070" t="s">
        <v>927</v>
      </c>
      <c r="GA32" s="1070" t="s">
        <v>926</v>
      </c>
      <c r="GB32" s="1070" t="s">
        <v>925</v>
      </c>
      <c r="GC32" s="1070" t="s">
        <v>924</v>
      </c>
      <c r="GD32" s="1069" t="s">
        <v>447</v>
      </c>
      <c r="GE32" s="103"/>
      <c r="GF32" s="103"/>
      <c r="GH32" s="1069" t="s">
        <v>472</v>
      </c>
      <c r="GI32" s="1070" t="s">
        <v>927</v>
      </c>
      <c r="GJ32" s="1070" t="s">
        <v>926</v>
      </c>
      <c r="GK32" s="1070" t="s">
        <v>925</v>
      </c>
      <c r="GL32" s="1070" t="s">
        <v>924</v>
      </c>
      <c r="GM32" s="1069" t="s">
        <v>447</v>
      </c>
      <c r="GN32" s="103"/>
      <c r="GO32" s="103"/>
      <c r="GQ32" s="1069" t="s">
        <v>472</v>
      </c>
      <c r="GR32" s="1070" t="s">
        <v>927</v>
      </c>
      <c r="GS32" s="1070" t="s">
        <v>926</v>
      </c>
      <c r="GT32" s="1070" t="s">
        <v>925</v>
      </c>
      <c r="GU32" s="1070" t="s">
        <v>924</v>
      </c>
      <c r="GV32" s="1069" t="s">
        <v>447</v>
      </c>
      <c r="GW32" s="103"/>
      <c r="GX32" s="103"/>
      <c r="GZ32" s="1069" t="s">
        <v>472</v>
      </c>
      <c r="HA32" s="1070" t="s">
        <v>927</v>
      </c>
      <c r="HB32" s="1070" t="s">
        <v>926</v>
      </c>
      <c r="HC32" s="1070" t="s">
        <v>925</v>
      </c>
      <c r="HD32" s="1070" t="s">
        <v>924</v>
      </c>
      <c r="HE32" s="1069" t="s">
        <v>447</v>
      </c>
      <c r="HF32" s="103"/>
      <c r="HG32" s="103"/>
      <c r="HI32" s="1069" t="s">
        <v>472</v>
      </c>
      <c r="HJ32" s="1070" t="s">
        <v>927</v>
      </c>
      <c r="HK32" s="1070" t="s">
        <v>926</v>
      </c>
      <c r="HL32" s="1070" t="s">
        <v>925</v>
      </c>
      <c r="HM32" s="1070" t="s">
        <v>924</v>
      </c>
      <c r="HN32" s="1069" t="s">
        <v>447</v>
      </c>
      <c r="HO32" s="103"/>
      <c r="HP32" s="103"/>
      <c r="HR32" s="1069" t="s">
        <v>472</v>
      </c>
      <c r="HS32" s="1070" t="s">
        <v>927</v>
      </c>
      <c r="HT32" s="1070" t="s">
        <v>926</v>
      </c>
      <c r="HU32" s="1070" t="s">
        <v>925</v>
      </c>
      <c r="HV32" s="1070" t="s">
        <v>924</v>
      </c>
      <c r="HW32" s="1069" t="s">
        <v>447</v>
      </c>
      <c r="HX32" s="1051"/>
      <c r="HY32" s="103"/>
      <c r="IA32" s="1069" t="s">
        <v>472</v>
      </c>
      <c r="IB32" s="1070" t="s">
        <v>927</v>
      </c>
      <c r="IC32" s="1070" t="s">
        <v>926</v>
      </c>
      <c r="ID32" s="1070" t="s">
        <v>925</v>
      </c>
      <c r="IE32" s="1070" t="s">
        <v>924</v>
      </c>
      <c r="IF32" s="1069" t="s">
        <v>447</v>
      </c>
      <c r="IG32" s="1051"/>
      <c r="IH32" s="103"/>
      <c r="IJ32" s="1069" t="s">
        <v>472</v>
      </c>
      <c r="IK32" s="1070" t="s">
        <v>927</v>
      </c>
      <c r="IL32" s="1070" t="s">
        <v>926</v>
      </c>
      <c r="IM32" s="1070" t="s">
        <v>925</v>
      </c>
      <c r="IN32" s="1070" t="s">
        <v>924</v>
      </c>
      <c r="IO32" s="1069" t="s">
        <v>447</v>
      </c>
      <c r="IP32" s="1051"/>
      <c r="IQ32" s="103"/>
    </row>
    <row r="33" spans="2:251" ht="15.5" hidden="1" x14ac:dyDescent="0.35">
      <c r="EO33" s="1065"/>
      <c r="EP33" s="1058"/>
      <c r="EQ33" s="1067"/>
      <c r="ER33" s="1067"/>
      <c r="ES33" s="1066"/>
      <c r="ET33" s="103"/>
      <c r="EU33" s="103"/>
      <c r="EV33" s="103"/>
      <c r="EX33" s="1065"/>
      <c r="EY33" s="1058"/>
      <c r="EZ33" s="1067"/>
      <c r="FA33" s="1064"/>
      <c r="FB33" s="1067"/>
      <c r="FC33" s="1066"/>
      <c r="FD33" s="103"/>
      <c r="FE33" s="103"/>
      <c r="FG33" s="1065"/>
      <c r="FH33" s="1058"/>
      <c r="FI33" s="1067"/>
      <c r="FJ33" s="1064"/>
      <c r="FK33" s="1067"/>
      <c r="FL33" s="1066"/>
      <c r="FM33" s="103"/>
      <c r="FN33" s="103"/>
      <c r="FP33" s="1065"/>
      <c r="FQ33" s="1058"/>
      <c r="FR33" s="1067"/>
      <c r="FS33" s="1064"/>
      <c r="FT33" s="1067"/>
      <c r="FU33" s="1066"/>
      <c r="FV33" s="103"/>
      <c r="FW33" s="103"/>
      <c r="FY33" s="1065"/>
      <c r="FZ33" s="1058"/>
      <c r="GA33" s="1067"/>
      <c r="GB33" s="1064"/>
      <c r="GC33" s="1067"/>
      <c r="GD33" s="1066"/>
      <c r="GE33" s="103"/>
      <c r="GF33" s="103"/>
      <c r="GH33" s="1065"/>
      <c r="GI33" s="1058"/>
      <c r="GJ33" s="1067"/>
      <c r="GK33" s="1064"/>
      <c r="GL33" s="1067"/>
      <c r="GM33" s="1066"/>
      <c r="GN33" s="103"/>
      <c r="GO33" s="103"/>
      <c r="GQ33" s="1065"/>
      <c r="GR33" s="1058"/>
      <c r="GS33" s="1067"/>
      <c r="GT33" s="1064"/>
      <c r="GU33" s="1067"/>
      <c r="GV33" s="1066"/>
      <c r="GW33" s="103"/>
      <c r="GX33" s="103"/>
      <c r="GZ33" s="1065"/>
      <c r="HA33" s="1058"/>
      <c r="HB33" s="1067"/>
      <c r="HC33" s="1064"/>
      <c r="HD33" s="1067"/>
      <c r="HE33" s="1066"/>
      <c r="HF33" s="103"/>
      <c r="HG33" s="103"/>
      <c r="HI33" s="1065"/>
      <c r="HJ33" s="1058"/>
      <c r="HK33" s="1067"/>
      <c r="HL33" s="1064"/>
      <c r="HM33" s="1067"/>
      <c r="HN33" s="1066"/>
      <c r="HO33" s="103"/>
      <c r="HP33" s="103"/>
      <c r="HR33" s="1065"/>
      <c r="HS33" s="1058"/>
      <c r="HT33" s="1067"/>
      <c r="HU33" s="1064"/>
      <c r="HV33" s="1067"/>
      <c r="HW33" s="1066"/>
      <c r="HX33" s="103"/>
      <c r="HY33" s="103"/>
      <c r="IA33" s="1065"/>
      <c r="IB33" s="1058"/>
      <c r="IC33" s="1067"/>
      <c r="ID33" s="1064"/>
      <c r="IE33" s="1067"/>
      <c r="IF33" s="1066"/>
      <c r="IG33" s="103"/>
      <c r="IH33" s="103"/>
      <c r="IJ33" s="1065"/>
      <c r="IK33" s="1058"/>
      <c r="IL33" s="1067"/>
      <c r="IM33" s="1064"/>
      <c r="IN33" s="1067"/>
      <c r="IO33" s="1066"/>
      <c r="IP33" s="103"/>
      <c r="IQ33" s="103"/>
    </row>
    <row r="34" spans="2:251" ht="15.5" hidden="1" x14ac:dyDescent="0.35">
      <c r="EO34" s="1058">
        <v>2014</v>
      </c>
      <c r="EP34" s="1061"/>
      <c r="EQ34" s="1060"/>
      <c r="ER34" s="1060"/>
      <c r="ES34" s="1059">
        <f t="shared" ref="ES34:ES39" si="52">SUM(EP34:ER34)</f>
        <v>0</v>
      </c>
      <c r="ET34" s="103"/>
      <c r="EU34" s="103"/>
      <c r="EV34" s="103"/>
      <c r="EX34" s="1058" t="s">
        <v>950</v>
      </c>
      <c r="EY34" s="1061">
        <v>2100</v>
      </c>
      <c r="EZ34" s="1110"/>
      <c r="FA34" s="1061"/>
      <c r="FB34" s="1060"/>
      <c r="FC34" s="1059">
        <f>SUM(EY34:FB34)</f>
        <v>2100</v>
      </c>
      <c r="FD34" s="103"/>
      <c r="FE34" s="103"/>
      <c r="FG34" s="1058" t="s">
        <v>950</v>
      </c>
      <c r="FH34" s="1061">
        <v>1100</v>
      </c>
      <c r="FI34" s="1110"/>
      <c r="FJ34" s="1061"/>
      <c r="FK34" s="1060"/>
      <c r="FL34" s="1059">
        <f>SUM(FH34:FK34)</f>
        <v>1100</v>
      </c>
      <c r="FM34" s="103"/>
      <c r="FN34" s="103"/>
      <c r="FP34" s="1058" t="s">
        <v>948</v>
      </c>
      <c r="FQ34" s="1061">
        <v>1900</v>
      </c>
      <c r="FR34" s="1060">
        <v>164</v>
      </c>
      <c r="FS34" s="1061"/>
      <c r="FT34" s="1060"/>
      <c r="FU34" s="1059">
        <f>SUM(FQ34:FT34)</f>
        <v>2064</v>
      </c>
      <c r="FV34" s="103"/>
      <c r="FW34" s="103"/>
      <c r="FY34" s="1058" t="s">
        <v>949</v>
      </c>
      <c r="FZ34" s="1061">
        <v>1570</v>
      </c>
      <c r="GA34" s="1060">
        <v>164</v>
      </c>
      <c r="GB34" s="1061"/>
      <c r="GC34" s="1060"/>
      <c r="GD34" s="1059">
        <v>1734</v>
      </c>
      <c r="GE34" s="103"/>
      <c r="GF34" s="103"/>
      <c r="GH34" s="1058" t="s">
        <v>949</v>
      </c>
      <c r="GI34" s="1061">
        <v>4400</v>
      </c>
      <c r="GJ34" s="1060">
        <v>59</v>
      </c>
      <c r="GK34" s="1061"/>
      <c r="GL34" s="1060"/>
      <c r="GM34" s="1059">
        <f>SUM(GI34:GL34)</f>
        <v>4459</v>
      </c>
      <c r="GN34" s="103"/>
      <c r="GO34" s="103"/>
      <c r="GQ34" s="1058" t="s">
        <v>949</v>
      </c>
      <c r="GR34" s="1061">
        <v>6602</v>
      </c>
      <c r="GS34" s="1060"/>
      <c r="GT34" s="1061"/>
      <c r="GU34" s="1060"/>
      <c r="GV34" s="1059">
        <f>SUM(GR34:GU34)</f>
        <v>6602</v>
      </c>
      <c r="GW34" s="103"/>
      <c r="GX34" s="103"/>
      <c r="GZ34" s="1058" t="s">
        <v>947</v>
      </c>
      <c r="HA34" s="1061">
        <v>11298</v>
      </c>
      <c r="HB34" s="1060"/>
      <c r="HC34" s="1061"/>
      <c r="HD34" s="1060"/>
      <c r="HE34" s="1107">
        <f>SUM(HA34:HD34)</f>
        <v>11298</v>
      </c>
      <c r="HF34" s="103"/>
      <c r="HG34" s="103"/>
      <c r="HI34" s="1058" t="s">
        <v>947</v>
      </c>
      <c r="HJ34" s="1061">
        <v>12179</v>
      </c>
      <c r="HK34" s="1060"/>
      <c r="HL34" s="1061"/>
      <c r="HM34" s="1060"/>
      <c r="HN34" s="1107">
        <f>SUM(HJ34:HM34)</f>
        <v>12179</v>
      </c>
      <c r="HO34" s="103"/>
      <c r="HP34" s="103"/>
      <c r="HR34" s="1058" t="s">
        <v>947</v>
      </c>
      <c r="HS34" s="1061">
        <v>7264</v>
      </c>
      <c r="HT34" s="1060"/>
      <c r="HU34" s="1061"/>
      <c r="HV34" s="1060"/>
      <c r="HW34" s="1107">
        <f>SUM(HS34:HV34)</f>
        <v>7264</v>
      </c>
      <c r="HX34" s="103"/>
      <c r="HY34" s="103"/>
      <c r="IA34" s="1058" t="s">
        <v>947</v>
      </c>
      <c r="IB34" s="1061">
        <v>7411</v>
      </c>
      <c r="IC34" s="1060"/>
      <c r="ID34" s="1061"/>
      <c r="IE34" s="1060"/>
      <c r="IF34" s="1107">
        <f>SUM(IB34:IE34)</f>
        <v>7411</v>
      </c>
      <c r="IG34" s="103"/>
      <c r="IH34" s="103"/>
      <c r="IJ34" s="1058" t="s">
        <v>922</v>
      </c>
      <c r="IK34" s="1061">
        <v>12931</v>
      </c>
      <c r="IL34" s="1060"/>
      <c r="IM34" s="1061">
        <v>604</v>
      </c>
      <c r="IN34" s="1060"/>
      <c r="IO34" s="1059">
        <f>SUM(IK34:IN34)</f>
        <v>13535</v>
      </c>
      <c r="IP34" s="103"/>
      <c r="IQ34" s="103"/>
    </row>
    <row r="35" spans="2:251" ht="15.5" hidden="1" x14ac:dyDescent="0.35">
      <c r="EO35" s="1058">
        <v>2015</v>
      </c>
      <c r="EP35" s="1061">
        <v>2550</v>
      </c>
      <c r="EQ35" s="1109"/>
      <c r="ER35" s="1060"/>
      <c r="ES35" s="1059">
        <f t="shared" si="52"/>
        <v>2550</v>
      </c>
      <c r="ET35" s="103"/>
      <c r="EU35" s="103"/>
      <c r="EV35" s="103"/>
      <c r="EX35" s="1058" t="s">
        <v>948</v>
      </c>
      <c r="EY35" s="1061">
        <v>1900</v>
      </c>
      <c r="EZ35" s="1060">
        <v>103</v>
      </c>
      <c r="FA35" s="1061"/>
      <c r="FB35" s="1060"/>
      <c r="FC35" s="1059">
        <f>SUM(EY35:FB35)</f>
        <v>2003</v>
      </c>
      <c r="FD35" s="103"/>
      <c r="FE35" s="103"/>
      <c r="FG35" s="1058" t="s">
        <v>948</v>
      </c>
      <c r="FH35" s="1061">
        <v>1900</v>
      </c>
      <c r="FI35" s="1060">
        <v>164</v>
      </c>
      <c r="FJ35" s="1061"/>
      <c r="FK35" s="1060"/>
      <c r="FL35" s="1059">
        <f>SUM(FH35:FK35)</f>
        <v>2064</v>
      </c>
      <c r="FM35" s="103"/>
      <c r="FN35" s="103"/>
      <c r="FP35" s="1058" t="s">
        <v>947</v>
      </c>
      <c r="FQ35" s="1061"/>
      <c r="FR35" s="1060"/>
      <c r="FS35" s="1061"/>
      <c r="FT35" s="1060"/>
      <c r="FU35" s="1108">
        <f>SUM(FQ35:FT35)</f>
        <v>0</v>
      </c>
      <c r="FV35" s="103"/>
      <c r="FW35" s="103"/>
      <c r="FY35" s="1058" t="s">
        <v>947</v>
      </c>
      <c r="FZ35" s="1061"/>
      <c r="GA35" s="1060"/>
      <c r="GB35" s="1061"/>
      <c r="GC35" s="1060"/>
      <c r="GD35" s="1108">
        <v>0</v>
      </c>
      <c r="GE35" s="103"/>
      <c r="GF35" s="103"/>
      <c r="GH35" s="1058" t="s">
        <v>947</v>
      </c>
      <c r="GI35" s="1061"/>
      <c r="GJ35" s="1060"/>
      <c r="GK35" s="1061"/>
      <c r="GL35" s="1060"/>
      <c r="GM35" s="1062">
        <f>SUM(GI35:GL35)</f>
        <v>0</v>
      </c>
      <c r="GN35" s="103"/>
      <c r="GO35" s="103"/>
      <c r="GQ35" s="1058" t="s">
        <v>947</v>
      </c>
      <c r="GR35" s="1061">
        <v>2298</v>
      </c>
      <c r="GS35" s="1060"/>
      <c r="GT35" s="1061"/>
      <c r="GU35" s="1060"/>
      <c r="GV35" s="1107">
        <f>SUM(GR35:GU35)</f>
        <v>2298</v>
      </c>
      <c r="GW35" s="103"/>
      <c r="GX35" s="103"/>
      <c r="GZ35" s="1058" t="s">
        <v>922</v>
      </c>
      <c r="HA35" s="1061"/>
      <c r="HB35" s="1060"/>
      <c r="HC35" s="1061">
        <v>606</v>
      </c>
      <c r="HD35" s="1060"/>
      <c r="HE35" s="1059">
        <f>SUM(HA35:HD35)</f>
        <v>606</v>
      </c>
      <c r="HF35" s="103"/>
      <c r="HG35" s="103"/>
      <c r="HI35" s="1058" t="s">
        <v>922</v>
      </c>
      <c r="HJ35" s="1061">
        <v>1111</v>
      </c>
      <c r="HK35" s="1060"/>
      <c r="HL35" s="1061">
        <v>606</v>
      </c>
      <c r="HM35" s="1060"/>
      <c r="HN35" s="1059">
        <f>SUM(HJ35:HM35)</f>
        <v>1717</v>
      </c>
      <c r="HO35" s="103"/>
      <c r="HP35" s="103"/>
      <c r="HR35" s="1058" t="s">
        <v>922</v>
      </c>
      <c r="HS35" s="1061">
        <v>1402</v>
      </c>
      <c r="HT35" s="1060"/>
      <c r="HU35" s="1061">
        <v>605</v>
      </c>
      <c r="HV35" s="1060"/>
      <c r="HW35" s="1059">
        <f>SUM(HS35:HV35)</f>
        <v>2007</v>
      </c>
      <c r="HX35" s="103"/>
      <c r="HY35" s="103"/>
      <c r="IA35" s="1058" t="s">
        <v>922</v>
      </c>
      <c r="IB35" s="1061">
        <v>7031</v>
      </c>
      <c r="IC35" s="1060"/>
      <c r="ID35" s="1061">
        <v>604</v>
      </c>
      <c r="IE35" s="1060"/>
      <c r="IF35" s="1059">
        <f>SUM(IB35:IE35)</f>
        <v>7635</v>
      </c>
      <c r="IG35" s="103"/>
      <c r="IH35" s="103"/>
      <c r="IJ35" s="1058" t="s">
        <v>921</v>
      </c>
      <c r="IK35" s="1061"/>
      <c r="IL35" s="1060"/>
      <c r="IM35" s="1061"/>
      <c r="IN35" s="1060"/>
      <c r="IO35" s="1062">
        <f>SUM(IK35:IN35)</f>
        <v>0</v>
      </c>
      <c r="IP35" s="103"/>
      <c r="IQ35" s="103"/>
    </row>
    <row r="36" spans="2:251" ht="15.5" hidden="1" x14ac:dyDescent="0.35">
      <c r="EO36" s="1058">
        <v>2016</v>
      </c>
      <c r="EP36" s="1061"/>
      <c r="EQ36" s="1060"/>
      <c r="ER36" s="1060"/>
      <c r="ES36" s="1059">
        <f t="shared" si="52"/>
        <v>0</v>
      </c>
      <c r="ET36" s="103"/>
      <c r="EU36" s="103"/>
      <c r="EV36" s="103"/>
      <c r="EX36" s="1058" t="s">
        <v>947</v>
      </c>
      <c r="EY36" s="1061"/>
      <c r="EZ36" s="1060"/>
      <c r="FA36" s="1061"/>
      <c r="FB36" s="1060"/>
      <c r="FC36" s="1059">
        <f>SUM(EY36:FB36)</f>
        <v>0</v>
      </c>
      <c r="FD36" s="103"/>
      <c r="FE36" s="103"/>
      <c r="FG36" s="1058" t="s">
        <v>947</v>
      </c>
      <c r="FH36" s="1061"/>
      <c r="FI36" s="1060"/>
      <c r="FJ36" s="1061"/>
      <c r="FK36" s="1060"/>
      <c r="FL36" s="1059">
        <f>SUM(FH36:FK36)</f>
        <v>0</v>
      </c>
      <c r="FM36" s="103"/>
      <c r="FN36" s="103"/>
      <c r="FP36" s="1058" t="s">
        <v>922</v>
      </c>
      <c r="FQ36" s="1061"/>
      <c r="FR36" s="1060"/>
      <c r="FS36" s="1061">
        <v>608</v>
      </c>
      <c r="FT36" s="1060"/>
      <c r="FU36" s="1059">
        <f>SUM(FQ36:FT36)</f>
        <v>608</v>
      </c>
      <c r="FV36" s="103"/>
      <c r="FW36" s="103"/>
      <c r="FY36" s="1058" t="s">
        <v>922</v>
      </c>
      <c r="FZ36" s="1061"/>
      <c r="GA36" s="1060"/>
      <c r="GB36" s="1061">
        <v>607</v>
      </c>
      <c r="GC36" s="1060"/>
      <c r="GD36" s="1059">
        <v>607</v>
      </c>
      <c r="GE36" s="103"/>
      <c r="GF36" s="103"/>
      <c r="GH36" s="1058" t="s">
        <v>922</v>
      </c>
      <c r="GI36" s="1061"/>
      <c r="GJ36" s="1060"/>
      <c r="GK36" s="1061">
        <v>606</v>
      </c>
      <c r="GL36" s="1060"/>
      <c r="GM36" s="1059">
        <f>SUM(GI36:GL36)</f>
        <v>606</v>
      </c>
      <c r="GN36" s="103"/>
      <c r="GO36" s="103"/>
      <c r="GQ36" s="1058" t="s">
        <v>922</v>
      </c>
      <c r="GR36" s="1061"/>
      <c r="GS36" s="1060"/>
      <c r="GT36" s="1061">
        <v>606</v>
      </c>
      <c r="GU36" s="1060"/>
      <c r="GV36" s="1059">
        <f>SUM(GR36:GU36)</f>
        <v>606</v>
      </c>
      <c r="GW36" s="103"/>
      <c r="GX36" s="103"/>
      <c r="GZ36" s="1058" t="s">
        <v>921</v>
      </c>
      <c r="HA36" s="1061"/>
      <c r="HB36" s="1060"/>
      <c r="HC36" s="1061"/>
      <c r="HD36" s="1060"/>
      <c r="HE36" s="1062">
        <f>SUM(HA36:HD36)</f>
        <v>0</v>
      </c>
      <c r="HF36" s="103"/>
      <c r="HG36" s="103"/>
      <c r="HI36" s="1058" t="s">
        <v>921</v>
      </c>
      <c r="HJ36" s="1061"/>
      <c r="HK36" s="1060"/>
      <c r="HL36" s="1061"/>
      <c r="HM36" s="1060"/>
      <c r="HN36" s="1062">
        <f>SUM(HJ36:HM36)</f>
        <v>0</v>
      </c>
      <c r="HO36" s="103"/>
      <c r="HP36" s="103"/>
      <c r="HR36" s="1058" t="s">
        <v>921</v>
      </c>
      <c r="HS36" s="1061"/>
      <c r="HT36" s="1060"/>
      <c r="HU36" s="1061"/>
      <c r="HV36" s="1060"/>
      <c r="HW36" s="1062">
        <f>SUM(HS36:HV36)</f>
        <v>0</v>
      </c>
      <c r="HX36" s="103"/>
      <c r="HY36" s="103"/>
      <c r="IA36" s="1058" t="s">
        <v>921</v>
      </c>
      <c r="IB36" s="1061"/>
      <c r="IC36" s="1060"/>
      <c r="ID36" s="1061"/>
      <c r="IE36" s="1060"/>
      <c r="IF36" s="1062">
        <f>SUM(IB36:IE36)</f>
        <v>0</v>
      </c>
      <c r="IG36" s="103"/>
      <c r="IH36" s="103"/>
      <c r="IJ36" s="1058" t="s">
        <v>920</v>
      </c>
      <c r="IK36" s="1061"/>
      <c r="IL36" s="1060"/>
      <c r="IM36" s="1061"/>
      <c r="IN36" s="1060">
        <v>901</v>
      </c>
      <c r="IO36" s="1059">
        <f>SUM(IK36:IN36)</f>
        <v>901</v>
      </c>
      <c r="IP36" s="103"/>
      <c r="IQ36" s="103"/>
    </row>
    <row r="37" spans="2:251" ht="15.5" hidden="1" x14ac:dyDescent="0.35">
      <c r="EO37" s="1058">
        <v>2017</v>
      </c>
      <c r="EP37" s="1061"/>
      <c r="EQ37" s="1060">
        <v>319</v>
      </c>
      <c r="ER37" s="1060"/>
      <c r="ES37" s="1059">
        <f t="shared" si="52"/>
        <v>319</v>
      </c>
      <c r="ET37" s="103"/>
      <c r="EU37" s="103"/>
      <c r="EV37" s="103"/>
      <c r="EX37" s="1058" t="s">
        <v>922</v>
      </c>
      <c r="EY37" s="1061"/>
      <c r="EZ37" s="1060"/>
      <c r="FA37" s="1061">
        <v>529</v>
      </c>
      <c r="FB37" s="1060"/>
      <c r="FC37" s="1059">
        <f>SUM(EY37:FB37)</f>
        <v>529</v>
      </c>
      <c r="FD37" s="103"/>
      <c r="FE37" s="103"/>
      <c r="FG37" s="1058" t="s">
        <v>922</v>
      </c>
      <c r="FH37" s="1061"/>
      <c r="FI37" s="1060"/>
      <c r="FJ37" s="1061">
        <v>608</v>
      </c>
      <c r="FK37" s="1060"/>
      <c r="FL37" s="1059">
        <f>SUM(FH37:FK37)</f>
        <v>608</v>
      </c>
      <c r="FM37" s="103"/>
      <c r="FN37" s="103"/>
      <c r="FP37" s="1058" t="s">
        <v>921</v>
      </c>
      <c r="FQ37" s="1061"/>
      <c r="FR37" s="1060"/>
      <c r="FS37" s="1061"/>
      <c r="FT37" s="1060"/>
      <c r="FU37" s="1059" t="s">
        <v>368</v>
      </c>
      <c r="FV37" s="103"/>
      <c r="FW37" s="103"/>
      <c r="FY37" s="1058" t="s">
        <v>921</v>
      </c>
      <c r="FZ37" s="1061"/>
      <c r="GA37" s="1060"/>
      <c r="GB37" s="1061"/>
      <c r="GC37" s="1060"/>
      <c r="GD37" s="1059" t="s">
        <v>368</v>
      </c>
      <c r="GE37" s="103"/>
      <c r="GF37" s="103"/>
      <c r="GH37" s="1058" t="s">
        <v>921</v>
      </c>
      <c r="GI37" s="1061"/>
      <c r="GJ37" s="1060"/>
      <c r="GK37" s="1061"/>
      <c r="GL37" s="1060"/>
      <c r="GM37" s="1062">
        <f>SUM(GI37:GL37)</f>
        <v>0</v>
      </c>
      <c r="GN37" s="103"/>
      <c r="GO37" s="103"/>
      <c r="GQ37" s="1058" t="s">
        <v>921</v>
      </c>
      <c r="GR37" s="1061"/>
      <c r="GS37" s="1060"/>
      <c r="GT37" s="1061"/>
      <c r="GU37" s="1060"/>
      <c r="GV37" s="1062">
        <f>SUM(GR37:GU37)</f>
        <v>0</v>
      </c>
      <c r="GW37" s="103"/>
      <c r="GX37" s="103"/>
      <c r="GZ37" s="1058" t="s">
        <v>920</v>
      </c>
      <c r="HA37" s="1061"/>
      <c r="HB37" s="1060"/>
      <c r="HC37" s="1061"/>
      <c r="HD37" s="1060">
        <v>902</v>
      </c>
      <c r="HE37" s="1059">
        <f>SUM(HA37:HD37)</f>
        <v>902</v>
      </c>
      <c r="HF37" s="103"/>
      <c r="HG37" s="103"/>
      <c r="HI37" s="1058" t="s">
        <v>920</v>
      </c>
      <c r="HJ37" s="1061"/>
      <c r="HK37" s="1060"/>
      <c r="HL37" s="1061"/>
      <c r="HM37" s="1060">
        <v>901</v>
      </c>
      <c r="HN37" s="1059">
        <f>SUM(HJ37:HM37)</f>
        <v>901</v>
      </c>
      <c r="HO37" s="103"/>
      <c r="HP37" s="103"/>
      <c r="HR37" s="1058" t="s">
        <v>920</v>
      </c>
      <c r="HS37" s="1061"/>
      <c r="HT37" s="1060"/>
      <c r="HU37" s="1061"/>
      <c r="HV37" s="1060">
        <v>901</v>
      </c>
      <c r="HW37" s="1059">
        <f>SUM(HS37:HV37)</f>
        <v>901</v>
      </c>
      <c r="HX37" s="103"/>
      <c r="HY37" s="103"/>
      <c r="IA37" s="1058" t="s">
        <v>920</v>
      </c>
      <c r="IB37" s="1061"/>
      <c r="IC37" s="1060"/>
      <c r="ID37" s="1061"/>
      <c r="IE37" s="1060">
        <v>901</v>
      </c>
      <c r="IF37" s="1059">
        <f>SUM(IB37:IE37)</f>
        <v>901</v>
      </c>
      <c r="IG37" s="103"/>
      <c r="IH37" s="103"/>
      <c r="IJ37" s="1058"/>
      <c r="IK37" s="1061"/>
      <c r="IL37" s="1060"/>
      <c r="IM37" s="1061"/>
      <c r="IN37" s="1060"/>
      <c r="IO37" s="1059"/>
      <c r="IP37" s="103"/>
      <c r="IQ37" s="103"/>
    </row>
    <row r="38" spans="2:251" ht="15.5" hidden="1" x14ac:dyDescent="0.35">
      <c r="G38" s="1190"/>
      <c r="H38" s="1190"/>
      <c r="EO38" s="1058">
        <v>2018</v>
      </c>
      <c r="EP38" s="1061"/>
      <c r="EQ38" s="1060"/>
      <c r="ER38" s="1060"/>
      <c r="ES38" s="1059">
        <f t="shared" si="52"/>
        <v>0</v>
      </c>
      <c r="ET38" s="103"/>
      <c r="EU38" s="103"/>
      <c r="EV38" s="103"/>
      <c r="EX38" s="1058" t="s">
        <v>921</v>
      </c>
      <c r="EY38" s="1061"/>
      <c r="EZ38" s="1060"/>
      <c r="FA38" s="1061"/>
      <c r="FB38" s="1060"/>
      <c r="FC38" s="1059" t="s">
        <v>368</v>
      </c>
      <c r="FD38" s="103"/>
      <c r="FE38" s="103"/>
      <c r="FG38" s="1058" t="s">
        <v>921</v>
      </c>
      <c r="FH38" s="1061"/>
      <c r="FI38" s="1060"/>
      <c r="FJ38" s="1061"/>
      <c r="FK38" s="1060"/>
      <c r="FL38" s="1059" t="s">
        <v>368</v>
      </c>
      <c r="FM38" s="103"/>
      <c r="FN38" s="103"/>
      <c r="FP38" s="1058" t="s">
        <v>920</v>
      </c>
      <c r="FQ38" s="1061"/>
      <c r="FR38" s="1060"/>
      <c r="FS38" s="1061"/>
      <c r="FT38" s="1060">
        <v>905</v>
      </c>
      <c r="FU38" s="1059">
        <f>SUM(FQ38:FT38)</f>
        <v>905</v>
      </c>
      <c r="FV38" s="103"/>
      <c r="FW38" s="103"/>
      <c r="FY38" s="1058" t="s">
        <v>920</v>
      </c>
      <c r="FZ38" s="1061"/>
      <c r="GA38" s="1060"/>
      <c r="GB38" s="1061"/>
      <c r="GC38" s="1060">
        <v>902</v>
      </c>
      <c r="GD38" s="1059">
        <v>902</v>
      </c>
      <c r="GE38" s="103"/>
      <c r="GF38" s="103"/>
      <c r="GH38" s="1058" t="s">
        <v>920</v>
      </c>
      <c r="GI38" s="1061"/>
      <c r="GJ38" s="1060"/>
      <c r="GK38" s="1061"/>
      <c r="GL38" s="1060">
        <v>902</v>
      </c>
      <c r="GM38" s="1059">
        <f>SUM(GI38:GL38)</f>
        <v>902</v>
      </c>
      <c r="GN38" s="103"/>
      <c r="GO38" s="103"/>
      <c r="GQ38" s="1058" t="s">
        <v>920</v>
      </c>
      <c r="GR38" s="1061"/>
      <c r="GS38" s="1060"/>
      <c r="GT38" s="1061"/>
      <c r="GU38" s="1060">
        <v>902</v>
      </c>
      <c r="GV38" s="1059">
        <f>SUM(GR38:GU38)</f>
        <v>902</v>
      </c>
      <c r="GW38" s="103"/>
      <c r="GX38" s="103"/>
      <c r="GZ38" s="1058"/>
      <c r="HA38" s="1061"/>
      <c r="HB38" s="1060"/>
      <c r="HC38" s="1061"/>
      <c r="HD38" s="1060"/>
      <c r="HE38" s="1059"/>
      <c r="HF38" s="103"/>
      <c r="HG38" s="103"/>
      <c r="HI38" s="1058"/>
      <c r="HJ38" s="1061"/>
      <c r="HK38" s="1060"/>
      <c r="HL38" s="1061"/>
      <c r="HM38" s="1060"/>
      <c r="HN38" s="1059"/>
      <c r="HO38" s="103"/>
      <c r="HP38" s="103"/>
      <c r="HR38" s="1058"/>
      <c r="HS38" s="1061"/>
      <c r="HT38" s="1060"/>
      <c r="HU38" s="1061"/>
      <c r="HV38" s="1060"/>
      <c r="HW38" s="1059"/>
      <c r="HX38" s="103"/>
      <c r="HY38" s="103"/>
      <c r="IA38" s="1058"/>
      <c r="IB38" s="1061"/>
      <c r="IC38" s="1060"/>
      <c r="ID38" s="1061"/>
      <c r="IE38" s="1060"/>
      <c r="IF38" s="1059"/>
      <c r="IG38" s="103"/>
      <c r="IH38" s="103"/>
      <c r="IJ38" s="1058"/>
      <c r="IK38" s="1061"/>
      <c r="IL38" s="1060"/>
      <c r="IM38" s="1061"/>
      <c r="IN38" s="1060"/>
      <c r="IO38" s="1059"/>
      <c r="IP38" s="103"/>
      <c r="IQ38" s="103"/>
    </row>
    <row r="39" spans="2:251" ht="15.5" hidden="1" x14ac:dyDescent="0.35">
      <c r="EO39" s="1058">
        <v>2019</v>
      </c>
      <c r="EP39" s="1061"/>
      <c r="EQ39" s="1060"/>
      <c r="ER39" s="1060">
        <v>633</v>
      </c>
      <c r="ES39" s="1059">
        <f t="shared" si="52"/>
        <v>633</v>
      </c>
      <c r="ET39" s="103"/>
      <c r="EU39" s="103"/>
      <c r="EV39" s="103"/>
      <c r="EX39" s="1058" t="s">
        <v>920</v>
      </c>
      <c r="EY39" s="1061"/>
      <c r="EZ39" s="1060"/>
      <c r="FA39" s="1061"/>
      <c r="FB39" s="1060">
        <v>790</v>
      </c>
      <c r="FC39" s="1059">
        <f>SUM(EY39:FB39)</f>
        <v>790</v>
      </c>
      <c r="FD39" s="103"/>
      <c r="FE39" s="103"/>
      <c r="FG39" s="1058" t="s">
        <v>920</v>
      </c>
      <c r="FH39" s="1061"/>
      <c r="FI39" s="1060"/>
      <c r="FJ39" s="1061"/>
      <c r="FK39" s="1060">
        <v>906</v>
      </c>
      <c r="FL39" s="1059">
        <f>SUM(FH39:FK39)</f>
        <v>906</v>
      </c>
      <c r="FM39" s="103"/>
      <c r="FN39" s="103"/>
      <c r="FP39" s="1058"/>
      <c r="FQ39" s="1061"/>
      <c r="FR39" s="1060"/>
      <c r="FS39" s="1061"/>
      <c r="FT39" s="1060"/>
      <c r="FU39" s="1059"/>
      <c r="FV39" s="103"/>
      <c r="FW39" s="103"/>
      <c r="FY39" s="1058"/>
      <c r="FZ39" s="1061"/>
      <c r="GA39" s="1060"/>
      <c r="GB39" s="1061"/>
      <c r="GC39" s="1060"/>
      <c r="GD39" s="1059"/>
      <c r="GE39" s="103"/>
      <c r="GF39" s="103"/>
      <c r="GH39" s="1058"/>
      <c r="GI39" s="1061"/>
      <c r="GJ39" s="1060"/>
      <c r="GK39" s="1061"/>
      <c r="GL39" s="1060"/>
      <c r="GM39" s="1059"/>
      <c r="GN39" s="103"/>
      <c r="GO39" s="103"/>
      <c r="GQ39" s="1058"/>
      <c r="GR39" s="1061"/>
      <c r="GS39" s="1060"/>
      <c r="GT39" s="1061"/>
      <c r="GU39" s="1060"/>
      <c r="GV39" s="1059"/>
      <c r="GW39" s="103"/>
      <c r="GX39" s="103"/>
      <c r="GZ39" s="1058"/>
      <c r="HA39" s="1061"/>
      <c r="HB39" s="1060"/>
      <c r="HC39" s="1061"/>
      <c r="HD39" s="1060"/>
      <c r="HE39" s="1059"/>
      <c r="HF39" s="103"/>
      <c r="HG39" s="103"/>
      <c r="HI39" s="1058"/>
      <c r="HJ39" s="1061"/>
      <c r="HK39" s="1060"/>
      <c r="HL39" s="1061"/>
      <c r="HM39" s="1060"/>
      <c r="HN39" s="1059"/>
      <c r="HO39" s="103"/>
      <c r="HP39" s="103"/>
      <c r="HR39" s="1058"/>
      <c r="HS39" s="1061"/>
      <c r="HT39" s="1060"/>
      <c r="HU39" s="1061"/>
      <c r="HV39" s="1060"/>
      <c r="HW39" s="1059"/>
      <c r="HX39" s="103"/>
      <c r="HY39" s="103"/>
      <c r="IA39" s="1058"/>
      <c r="IB39" s="1061"/>
      <c r="IC39" s="1060"/>
      <c r="ID39" s="1061"/>
      <c r="IE39" s="1060"/>
      <c r="IF39" s="1059"/>
      <c r="IG39" s="103"/>
      <c r="IH39" s="103"/>
      <c r="IJ39" s="1058"/>
      <c r="IK39" s="1061"/>
      <c r="IL39" s="1060"/>
      <c r="IM39" s="1061"/>
      <c r="IN39" s="1060"/>
      <c r="IO39" s="1059"/>
      <c r="IP39" s="103"/>
      <c r="IQ39" s="103"/>
    </row>
    <row r="40" spans="2:251" ht="15.5" hidden="1" x14ac:dyDescent="0.35">
      <c r="EO40" s="1084"/>
      <c r="EP40" s="1056"/>
      <c r="EQ40" s="1055"/>
      <c r="ER40" s="1055"/>
      <c r="ES40" s="1054"/>
      <c r="ET40" s="103"/>
      <c r="EU40" s="103"/>
      <c r="EV40" s="103"/>
      <c r="EX40" s="1057"/>
      <c r="EY40" s="1056"/>
      <c r="EZ40" s="1055"/>
      <c r="FA40" s="1056"/>
      <c r="FB40" s="1055"/>
      <c r="FC40" s="1054"/>
      <c r="FD40" s="103"/>
      <c r="FE40" s="1052"/>
      <c r="FG40" s="1106"/>
      <c r="FH40" s="1056"/>
      <c r="FI40" s="1055"/>
      <c r="FJ40" s="1056"/>
      <c r="FK40" s="1055"/>
      <c r="FL40" s="1054"/>
      <c r="FM40" s="103"/>
      <c r="FN40" s="1052"/>
      <c r="FP40" s="1057"/>
      <c r="FQ40" s="1056"/>
      <c r="FR40" s="1055"/>
      <c r="FS40" s="1056"/>
      <c r="FT40" s="1055"/>
      <c r="FU40" s="1054"/>
      <c r="FV40" s="103"/>
      <c r="FW40" s="1052"/>
      <c r="FY40" s="1057"/>
      <c r="FZ40" s="1056"/>
      <c r="GA40" s="1055"/>
      <c r="GB40" s="1056"/>
      <c r="GC40" s="1055"/>
      <c r="GD40" s="1054"/>
      <c r="GE40" s="103"/>
      <c r="GF40" s="1052"/>
      <c r="GH40" s="1057"/>
      <c r="GI40" s="1056"/>
      <c r="GJ40" s="1055"/>
      <c r="GK40" s="1056"/>
      <c r="GL40" s="1055"/>
      <c r="GM40" s="1054"/>
      <c r="GN40" s="103"/>
      <c r="GO40" s="1052"/>
      <c r="GQ40" s="1057"/>
      <c r="GR40" s="1056"/>
      <c r="GS40" s="1055"/>
      <c r="GT40" s="1056"/>
      <c r="GU40" s="1055"/>
      <c r="GV40" s="1054"/>
      <c r="GW40" s="103"/>
      <c r="GX40" s="1052"/>
      <c r="GZ40" s="1057"/>
      <c r="HA40" s="1056"/>
      <c r="HB40" s="1055"/>
      <c r="HC40" s="1056"/>
      <c r="HD40" s="1055"/>
      <c r="HE40" s="1054"/>
      <c r="HF40" s="103"/>
      <c r="HG40" s="1052"/>
      <c r="HI40" s="1057"/>
      <c r="HJ40" s="1056"/>
      <c r="HK40" s="1055"/>
      <c r="HL40" s="1056"/>
      <c r="HM40" s="1055"/>
      <c r="HN40" s="1054"/>
      <c r="HO40" s="103"/>
      <c r="HP40" s="1052"/>
      <c r="HR40" s="1057"/>
      <c r="HS40" s="1056"/>
      <c r="HT40" s="1055"/>
      <c r="HU40" s="1056"/>
      <c r="HV40" s="1055"/>
      <c r="HW40" s="1054"/>
      <c r="HX40" s="103"/>
      <c r="HY40" s="1052"/>
      <c r="IA40" s="1057"/>
      <c r="IB40" s="1056"/>
      <c r="IC40" s="1055"/>
      <c r="ID40" s="1056"/>
      <c r="IE40" s="1055"/>
      <c r="IF40" s="1054"/>
      <c r="IG40" s="103"/>
      <c r="IH40" s="1052"/>
      <c r="IJ40" s="1057"/>
      <c r="IK40" s="1056"/>
      <c r="IL40" s="1055"/>
      <c r="IM40" s="1056"/>
      <c r="IN40" s="1055"/>
      <c r="IO40" s="1054"/>
      <c r="IP40" s="103"/>
      <c r="IQ40" s="1052"/>
    </row>
    <row r="41" spans="2:251" ht="15.5" hidden="1" x14ac:dyDescent="0.35">
      <c r="EO41" s="1053" t="s">
        <v>447</v>
      </c>
      <c r="EP41" s="1078">
        <f>SUM(EP34:EP40)</f>
        <v>2550</v>
      </c>
      <c r="EQ41" s="1078">
        <f>SUM(EQ34:EQ40)</f>
        <v>319</v>
      </c>
      <c r="ER41" s="1078">
        <f>SUM(ER34:ER40)</f>
        <v>633</v>
      </c>
      <c r="ES41" s="1078">
        <f>SUM(ES34:ES40)</f>
        <v>3502</v>
      </c>
      <c r="ET41" s="103"/>
      <c r="EU41" s="103"/>
      <c r="EV41" s="103"/>
      <c r="EX41" s="1053" t="s">
        <v>447</v>
      </c>
      <c r="EY41" s="1078">
        <f>SUM(EY34:EY40)</f>
        <v>4000</v>
      </c>
      <c r="EZ41" s="1078">
        <f>SUM(EZ34:EZ40)</f>
        <v>103</v>
      </c>
      <c r="FA41" s="1078">
        <f>SUM(FA34:FA40)</f>
        <v>529</v>
      </c>
      <c r="FB41" s="1078">
        <f>SUM(FB34:FB40)</f>
        <v>790</v>
      </c>
      <c r="FC41" s="1078">
        <f>SUM(FC34:FC40)</f>
        <v>5422</v>
      </c>
      <c r="FD41" s="103"/>
      <c r="FE41" s="1052"/>
      <c r="FG41" s="1053" t="s">
        <v>447</v>
      </c>
      <c r="FH41" s="1078">
        <f>SUM(FH34:FH40)</f>
        <v>3000</v>
      </c>
      <c r="FI41" s="1078">
        <f>SUM(FI34:FI40)</f>
        <v>164</v>
      </c>
      <c r="FJ41" s="1078">
        <f>SUM(FJ34:FJ40)</f>
        <v>608</v>
      </c>
      <c r="FK41" s="1078">
        <f>SUM(FK34:FK40)</f>
        <v>906</v>
      </c>
      <c r="FL41" s="1078">
        <f>SUM(FL34:FL40)</f>
        <v>4678</v>
      </c>
      <c r="FM41" s="103"/>
      <c r="FN41" s="1052"/>
      <c r="FP41" s="1053" t="s">
        <v>447</v>
      </c>
      <c r="FQ41" s="1078">
        <f>SUM(FQ34:FQ40)</f>
        <v>1900</v>
      </c>
      <c r="FR41" s="1078">
        <f>SUM(FR34:FR40)</f>
        <v>164</v>
      </c>
      <c r="FS41" s="1078">
        <f>SUM(FS34:FS40)</f>
        <v>608</v>
      </c>
      <c r="FT41" s="1078">
        <f>SUM(FT34:FT40)</f>
        <v>905</v>
      </c>
      <c r="FU41" s="1078">
        <f>SUM(FU34:FU40)</f>
        <v>3577</v>
      </c>
      <c r="FV41" s="103"/>
      <c r="FW41" s="1052"/>
      <c r="FY41" s="1053" t="s">
        <v>447</v>
      </c>
      <c r="FZ41" s="1078">
        <v>1570</v>
      </c>
      <c r="GA41" s="1078">
        <v>164</v>
      </c>
      <c r="GB41" s="1078">
        <v>607</v>
      </c>
      <c r="GC41" s="1078">
        <v>902</v>
      </c>
      <c r="GD41" s="1078">
        <v>3243</v>
      </c>
      <c r="GE41" s="103"/>
      <c r="GF41" s="1052"/>
      <c r="GH41" s="1053" t="s">
        <v>447</v>
      </c>
      <c r="GI41" s="1078">
        <f>SUM(GI34:GI38)</f>
        <v>4400</v>
      </c>
      <c r="GJ41" s="1078">
        <f>SUM(GJ34:GJ38)</f>
        <v>59</v>
      </c>
      <c r="GK41" s="1078">
        <f>SUM(GK34:GK38)</f>
        <v>606</v>
      </c>
      <c r="GL41" s="1078">
        <f>SUM(GL34:GL38)</f>
        <v>902</v>
      </c>
      <c r="GM41" s="1078">
        <f>SUM(GM34:GM38)</f>
        <v>5967</v>
      </c>
      <c r="GN41" s="103"/>
      <c r="GO41" s="1052"/>
      <c r="GQ41" s="1053" t="s">
        <v>447</v>
      </c>
      <c r="GR41" s="1078">
        <f>SUM(GR34:GR38)</f>
        <v>8900</v>
      </c>
      <c r="GS41" s="1078">
        <f>SUM(GS34:GS38)</f>
        <v>0</v>
      </c>
      <c r="GT41" s="1078">
        <f>SUM(GT34:GT38)</f>
        <v>606</v>
      </c>
      <c r="GU41" s="1078">
        <f>SUM(GU34:GU38)</f>
        <v>902</v>
      </c>
      <c r="GV41" s="1078">
        <f>SUM(GV34:GV38)</f>
        <v>10408</v>
      </c>
      <c r="GW41" s="103"/>
      <c r="GX41" s="1052"/>
      <c r="GZ41" s="1053" t="s">
        <v>447</v>
      </c>
      <c r="HA41" s="1078">
        <f>SUM(HA34:HA37)</f>
        <v>11298</v>
      </c>
      <c r="HB41" s="1078">
        <f>SUM(HB34:HB37)</f>
        <v>0</v>
      </c>
      <c r="HC41" s="1078">
        <f>SUM(HC34:HC37)</f>
        <v>606</v>
      </c>
      <c r="HD41" s="1078">
        <f>SUM(HD34:HD37)</f>
        <v>902</v>
      </c>
      <c r="HE41" s="1078">
        <f>SUM(HE34:HE37)</f>
        <v>12806</v>
      </c>
      <c r="HF41" s="103"/>
      <c r="HG41" s="1052"/>
      <c r="HI41" s="1053" t="s">
        <v>447</v>
      </c>
      <c r="HJ41" s="1078">
        <f>SUM(HJ34:HJ37)</f>
        <v>13290</v>
      </c>
      <c r="HK41" s="1078">
        <f>SUM(HK34:HK37)</f>
        <v>0</v>
      </c>
      <c r="HL41" s="1078">
        <f>SUM(HL34:HL37)</f>
        <v>606</v>
      </c>
      <c r="HM41" s="1078">
        <f>SUM(HM34:HM37)</f>
        <v>901</v>
      </c>
      <c r="HN41" s="1078">
        <f>SUM(HN34:HN37)</f>
        <v>14797</v>
      </c>
      <c r="HO41" s="103"/>
      <c r="HP41" s="1052"/>
      <c r="HR41" s="1053" t="s">
        <v>447</v>
      </c>
      <c r="HS41" s="1078">
        <f>SUM(HS34:HS37)</f>
        <v>8666</v>
      </c>
      <c r="HT41" s="1078">
        <f>SUM(HT34:HT37)</f>
        <v>0</v>
      </c>
      <c r="HU41" s="1078">
        <f>SUM(HU34:HU37)</f>
        <v>605</v>
      </c>
      <c r="HV41" s="1078">
        <f>SUM(HV34:HV37)</f>
        <v>901</v>
      </c>
      <c r="HW41" s="1078">
        <f>SUM(HW34:HW37)</f>
        <v>10172</v>
      </c>
      <c r="HX41" s="103"/>
      <c r="HY41" s="1052"/>
      <c r="IA41" s="1053" t="s">
        <v>447</v>
      </c>
      <c r="IB41" s="1078">
        <f>SUM(IB34:IB37)</f>
        <v>14442</v>
      </c>
      <c r="IC41" s="1078">
        <f>SUM(IC34:IC37)</f>
        <v>0</v>
      </c>
      <c r="ID41" s="1078">
        <f>SUM(ID34:ID37)</f>
        <v>604</v>
      </c>
      <c r="IE41" s="1078">
        <f>SUM(IE34:IE37)</f>
        <v>901</v>
      </c>
      <c r="IF41" s="1078">
        <f>SUM(IF34:IF37)</f>
        <v>15947</v>
      </c>
      <c r="IG41" s="103"/>
      <c r="IH41" s="1052"/>
      <c r="IJ41" s="1053" t="s">
        <v>447</v>
      </c>
      <c r="IK41" s="1078">
        <f>SUM(IK34:IK36)</f>
        <v>12931</v>
      </c>
      <c r="IL41" s="1078">
        <f>SUM(IL34:IL36)</f>
        <v>0</v>
      </c>
      <c r="IM41" s="1078">
        <f>SUM(IM34:IM36)</f>
        <v>604</v>
      </c>
      <c r="IN41" s="1078">
        <f>SUM(IN34:IN36)</f>
        <v>901</v>
      </c>
      <c r="IO41" s="1078">
        <f>SUM(IO34:IO36)</f>
        <v>14436</v>
      </c>
      <c r="IP41" s="103"/>
      <c r="IQ41" s="1052"/>
    </row>
    <row r="42" spans="2:251" ht="14.5" hidden="1" x14ac:dyDescent="0.35">
      <c r="EX42" s="103"/>
      <c r="EY42" s="103"/>
      <c r="EZ42" s="103"/>
      <c r="FA42" s="103"/>
      <c r="FB42" s="103"/>
      <c r="FC42" s="103"/>
      <c r="FD42" s="103"/>
      <c r="FE42" s="1052"/>
      <c r="FG42" s="103"/>
      <c r="FH42" s="103"/>
      <c r="FI42" s="103"/>
      <c r="FJ42" s="103"/>
      <c r="FK42" s="103"/>
      <c r="FL42" s="103"/>
      <c r="FM42" s="103"/>
      <c r="FN42" s="1052"/>
      <c r="FP42" s="103"/>
      <c r="FQ42" s="103"/>
      <c r="FR42" s="103"/>
      <c r="FS42" s="103"/>
      <c r="FT42" s="103"/>
      <c r="FU42" s="103"/>
      <c r="FV42" s="103"/>
      <c r="FW42" s="1052"/>
      <c r="FY42" s="103"/>
      <c r="FZ42" s="103"/>
      <c r="GA42" s="103"/>
      <c r="GB42" s="103"/>
      <c r="GC42" s="103"/>
      <c r="GD42" s="103"/>
      <c r="GE42" s="103"/>
      <c r="GF42" s="1052"/>
      <c r="GH42" s="103"/>
      <c r="GI42" s="103"/>
      <c r="GJ42" s="103"/>
      <c r="GK42" s="103"/>
      <c r="GL42" s="103"/>
      <c r="GM42" s="103"/>
      <c r="GN42" s="103"/>
      <c r="GO42" s="1052"/>
      <c r="GQ42" s="103"/>
      <c r="GR42" s="103"/>
      <c r="GS42" s="103"/>
      <c r="GT42" s="103"/>
      <c r="GU42" s="103"/>
      <c r="GV42" s="103"/>
      <c r="GW42" s="103"/>
      <c r="GX42" s="1052"/>
      <c r="GZ42" s="103"/>
      <c r="HA42" s="103"/>
      <c r="HB42" s="103"/>
      <c r="HC42" s="103"/>
      <c r="HD42" s="103"/>
      <c r="HE42" s="103"/>
      <c r="HF42" s="103"/>
      <c r="HG42" s="1052"/>
      <c r="HI42" s="103"/>
      <c r="HJ42" s="103"/>
      <c r="HK42" s="103"/>
      <c r="HL42" s="103"/>
      <c r="HM42" s="103"/>
      <c r="HN42" s="103"/>
      <c r="HO42" s="103"/>
      <c r="HP42" s="1052"/>
      <c r="HR42" s="103"/>
      <c r="HS42" s="103"/>
      <c r="HT42" s="103"/>
      <c r="HU42" s="103"/>
      <c r="HV42" s="103"/>
      <c r="HW42" s="103"/>
      <c r="HX42" s="103"/>
      <c r="HY42" s="1052"/>
      <c r="IA42" s="103"/>
      <c r="IB42" s="103"/>
      <c r="IC42" s="103"/>
      <c r="ID42" s="103"/>
      <c r="IE42" s="103"/>
      <c r="IF42" s="103"/>
      <c r="IG42" s="103"/>
      <c r="IH42" s="1052"/>
      <c r="IJ42" s="103"/>
      <c r="IK42" s="103"/>
      <c r="IL42" s="103"/>
      <c r="IM42" s="103"/>
      <c r="IN42" s="103"/>
      <c r="IO42" s="103"/>
      <c r="IP42" s="103"/>
      <c r="IQ42" s="1052"/>
    </row>
    <row r="43" spans="2:251" ht="15.5" hidden="1" x14ac:dyDescent="0.35">
      <c r="EX43" s="1049" t="s">
        <v>946</v>
      </c>
      <c r="EY43" s="103"/>
      <c r="EZ43" s="103"/>
      <c r="FA43" s="103"/>
      <c r="FB43" s="103"/>
      <c r="FC43" s="103"/>
      <c r="FD43" s="103"/>
      <c r="FE43" s="1051"/>
      <c r="FG43" s="1049" t="s">
        <v>946</v>
      </c>
      <c r="FH43" s="103"/>
      <c r="FI43" s="103"/>
      <c r="FJ43" s="103"/>
      <c r="FK43" s="103"/>
      <c r="FL43" s="103"/>
      <c r="FM43" s="103"/>
      <c r="FN43" s="1051"/>
      <c r="FP43" s="1049" t="s">
        <v>945</v>
      </c>
      <c r="FQ43" s="103"/>
      <c r="FR43" s="103"/>
      <c r="FS43" s="103"/>
      <c r="FT43" s="103"/>
      <c r="FU43" s="103"/>
      <c r="FV43" s="103"/>
      <c r="FW43" s="1051"/>
      <c r="FY43" s="1049" t="s">
        <v>945</v>
      </c>
      <c r="FZ43" s="103"/>
      <c r="GA43" s="103"/>
      <c r="GB43" s="103"/>
      <c r="GC43" s="103"/>
      <c r="GD43" s="103"/>
      <c r="GE43" s="103"/>
      <c r="GF43" s="1051"/>
      <c r="GH43" s="1049" t="s">
        <v>945</v>
      </c>
      <c r="GI43" s="103"/>
      <c r="GJ43" s="103"/>
      <c r="GK43" s="103"/>
      <c r="GL43" s="103"/>
      <c r="GM43" s="103"/>
      <c r="GN43" s="103"/>
      <c r="GO43" s="1051"/>
      <c r="GQ43" s="1049" t="s">
        <v>945</v>
      </c>
      <c r="GR43" s="103"/>
      <c r="GS43" s="103"/>
      <c r="GT43" s="103"/>
      <c r="GU43" s="103"/>
      <c r="GV43" s="103"/>
      <c r="GW43" s="103"/>
      <c r="GX43" s="1051"/>
      <c r="GZ43" s="1049" t="s">
        <v>945</v>
      </c>
      <c r="HA43" s="103"/>
      <c r="HB43" s="103"/>
      <c r="HC43" s="103"/>
      <c r="HD43" s="103"/>
      <c r="HE43" s="103"/>
      <c r="HF43" s="103"/>
      <c r="HG43" s="1051"/>
      <c r="HI43" s="1049" t="s">
        <v>944</v>
      </c>
      <c r="HJ43" s="103"/>
      <c r="HK43" s="103"/>
      <c r="HL43" s="103"/>
      <c r="HM43" s="103"/>
      <c r="HN43" s="103"/>
      <c r="HO43" s="103"/>
      <c r="HP43" s="1051"/>
      <c r="HR43" s="1049" t="s">
        <v>944</v>
      </c>
      <c r="HS43" s="103"/>
      <c r="HT43" s="103"/>
      <c r="HU43" s="103"/>
      <c r="HV43" s="103"/>
      <c r="HW43" s="103"/>
      <c r="HX43" s="103"/>
      <c r="HY43" s="1051"/>
      <c r="IA43" s="1049" t="s">
        <v>944</v>
      </c>
      <c r="IB43" s="103"/>
      <c r="IC43" s="103"/>
      <c r="ID43" s="103"/>
      <c r="IE43" s="103"/>
      <c r="IF43" s="103"/>
      <c r="IG43" s="103"/>
      <c r="IH43" s="1051"/>
      <c r="IJ43" s="1049" t="s">
        <v>943</v>
      </c>
      <c r="IK43" s="103"/>
      <c r="IL43" s="103"/>
      <c r="IM43" s="103"/>
      <c r="IN43" s="103"/>
      <c r="IO43" s="103"/>
      <c r="IP43" s="103"/>
      <c r="IQ43" s="1051"/>
    </row>
    <row r="44" spans="2:251" s="1191" customFormat="1" ht="15" hidden="1" thickBot="1" x14ac:dyDescent="0.4">
      <c r="GQ44" s="1048"/>
      <c r="GR44" s="1048"/>
      <c r="GS44" s="1048"/>
      <c r="GT44" s="1048"/>
      <c r="GU44" s="1048"/>
      <c r="GV44" s="1048"/>
      <c r="GW44" s="1048"/>
      <c r="GX44" s="1048"/>
    </row>
    <row r="45" spans="2:251" ht="14.5" hidden="1" x14ac:dyDescent="0.35">
      <c r="GQ45" s="103"/>
      <c r="GR45" s="103"/>
      <c r="GS45" s="103"/>
      <c r="GT45" s="103"/>
      <c r="GU45" s="103"/>
      <c r="GV45" s="103"/>
      <c r="GW45" s="103"/>
      <c r="GX45" s="103"/>
    </row>
    <row r="46" spans="2:251" hidden="1" x14ac:dyDescent="0.3"/>
    <row r="47" spans="2:251" ht="15.5" hidden="1" x14ac:dyDescent="0.35">
      <c r="B47" s="1256" t="s">
        <v>892</v>
      </c>
      <c r="C47" s="1270"/>
      <c r="D47" s="1270"/>
      <c r="E47" s="1270"/>
      <c r="F47" s="1270"/>
      <c r="G47" s="1270"/>
      <c r="H47" s="1270"/>
      <c r="I47" s="1270"/>
      <c r="K47" s="1256" t="s">
        <v>892</v>
      </c>
      <c r="L47" s="1256"/>
      <c r="M47" s="1256"/>
      <c r="N47" s="1256"/>
      <c r="O47" s="1256"/>
      <c r="P47" s="1256"/>
      <c r="Q47" s="1256"/>
      <c r="R47" s="1256"/>
      <c r="T47" s="1256" t="s">
        <v>892</v>
      </c>
      <c r="U47" s="1256"/>
      <c r="V47" s="1256"/>
      <c r="W47" s="1256"/>
      <c r="X47" s="1256"/>
      <c r="Y47" s="1256"/>
      <c r="Z47" s="1256"/>
      <c r="AA47" s="1256"/>
      <c r="AC47" s="1256" t="s">
        <v>892</v>
      </c>
      <c r="AD47" s="1256"/>
      <c r="AE47" s="1256"/>
      <c r="AF47" s="1256"/>
      <c r="AG47" s="1256"/>
      <c r="AH47" s="1256"/>
      <c r="AI47" s="1256"/>
      <c r="AJ47" s="1256"/>
      <c r="AL47" s="1256" t="s">
        <v>892</v>
      </c>
      <c r="AM47" s="1256"/>
      <c r="AN47" s="1256"/>
      <c r="AO47" s="1256"/>
      <c r="AP47" s="1256"/>
      <c r="AQ47" s="1256"/>
      <c r="AR47" s="1256"/>
      <c r="AS47" s="1256"/>
      <c r="AU47" s="1256" t="s">
        <v>892</v>
      </c>
      <c r="AV47" s="1256"/>
      <c r="AW47" s="1256"/>
      <c r="AX47" s="1256"/>
      <c r="AY47" s="1256"/>
      <c r="AZ47" s="1256"/>
      <c r="BA47" s="1256"/>
      <c r="BB47" s="1256"/>
      <c r="BD47" s="1256" t="s">
        <v>892</v>
      </c>
      <c r="BE47" s="1256"/>
      <c r="BF47" s="1256"/>
      <c r="BG47" s="1256"/>
      <c r="BH47" s="1256"/>
      <c r="BI47" s="1256"/>
      <c r="BJ47" s="1256"/>
      <c r="BK47" s="1256"/>
      <c r="BL47" s="1256" t="s">
        <v>892</v>
      </c>
      <c r="BM47" s="1256"/>
      <c r="BN47" s="1256"/>
      <c r="BO47" s="1256"/>
      <c r="BP47" s="1256"/>
      <c r="BQ47" s="1256"/>
      <c r="BR47" s="1256"/>
      <c r="BS47" s="1256"/>
      <c r="BU47" s="1256" t="s">
        <v>892</v>
      </c>
      <c r="BV47" s="1256"/>
      <c r="BW47" s="1256"/>
      <c r="BX47" s="1256"/>
      <c r="BY47" s="1256"/>
      <c r="BZ47" s="1256"/>
      <c r="CA47" s="1256"/>
      <c r="CB47" s="1256"/>
      <c r="CD47" s="1256" t="s">
        <v>892</v>
      </c>
      <c r="CE47" s="1256"/>
      <c r="CF47" s="1256"/>
      <c r="CG47" s="1256"/>
      <c r="CH47" s="1256"/>
      <c r="CI47" s="1256"/>
      <c r="CJ47" s="1256"/>
      <c r="CK47" s="1256"/>
      <c r="CM47" s="1273" t="s">
        <v>892</v>
      </c>
      <c r="CN47" s="1273"/>
      <c r="CO47" s="1273"/>
      <c r="CP47" s="1273"/>
      <c r="CQ47" s="1273"/>
      <c r="CR47" s="1273"/>
      <c r="CS47" s="1273"/>
      <c r="CT47" s="1273"/>
      <c r="CV47" s="1275" t="s">
        <v>892</v>
      </c>
      <c r="CW47" s="1275"/>
      <c r="CX47" s="1275"/>
      <c r="CY47" s="1275"/>
      <c r="CZ47" s="1275"/>
      <c r="DA47" s="1275"/>
      <c r="DB47" s="1275"/>
      <c r="DC47" s="1275"/>
      <c r="DE47" s="1269" t="s">
        <v>892</v>
      </c>
      <c r="DF47" s="1269"/>
      <c r="DG47" s="1269"/>
      <c r="DH47" s="1269"/>
      <c r="DI47" s="1269"/>
      <c r="DJ47" s="1269"/>
      <c r="DK47" s="1269"/>
      <c r="DL47" s="1269"/>
      <c r="DN47" s="1269" t="s">
        <v>892</v>
      </c>
      <c r="DO47" s="1269"/>
      <c r="DP47" s="1269"/>
      <c r="DQ47" s="1269"/>
      <c r="DR47" s="1269"/>
      <c r="DS47" s="1269"/>
      <c r="DT47" s="1269"/>
      <c r="DU47" s="1269"/>
      <c r="DW47" s="1269" t="s">
        <v>892</v>
      </c>
      <c r="DX47" s="1269"/>
      <c r="DY47" s="1269"/>
      <c r="DZ47" s="1269"/>
      <c r="EA47" s="1269"/>
      <c r="EB47" s="1269"/>
      <c r="EC47" s="1269"/>
      <c r="ED47" s="1269"/>
      <c r="EF47" s="1269" t="s">
        <v>892</v>
      </c>
      <c r="EG47" s="1269"/>
      <c r="EH47" s="1269"/>
      <c r="EI47" s="1269"/>
      <c r="EJ47" s="1269"/>
      <c r="EK47" s="1269"/>
      <c r="EL47" s="1269"/>
      <c r="EM47" s="1269"/>
      <c r="EO47" s="1269" t="s">
        <v>892</v>
      </c>
      <c r="EP47" s="1269"/>
      <c r="EQ47" s="1269"/>
      <c r="ER47" s="1269"/>
      <c r="ES47" s="1269"/>
      <c r="ET47" s="1269"/>
      <c r="EU47" s="1269"/>
      <c r="EV47" s="1269"/>
      <c r="EX47" s="1269" t="s">
        <v>892</v>
      </c>
      <c r="EY47" s="1269"/>
      <c r="EZ47" s="1269"/>
      <c r="FA47" s="1269"/>
      <c r="FB47" s="1269"/>
      <c r="FC47" s="1269"/>
      <c r="FD47" s="1269"/>
      <c r="FE47" s="1269"/>
      <c r="FG47" s="1269" t="s">
        <v>892</v>
      </c>
      <c r="FH47" s="1269"/>
      <c r="FI47" s="1269"/>
      <c r="FJ47" s="1269"/>
      <c r="FK47" s="1269"/>
      <c r="FL47" s="1269"/>
      <c r="FM47" s="1269"/>
      <c r="FN47" s="1269"/>
      <c r="FP47" s="1269" t="s">
        <v>892</v>
      </c>
      <c r="FQ47" s="1269"/>
      <c r="FR47" s="1269"/>
      <c r="FS47" s="1269"/>
      <c r="FT47" s="1269"/>
      <c r="FU47" s="1269"/>
      <c r="FV47" s="1269"/>
      <c r="FW47" s="1269"/>
      <c r="FY47" s="1269" t="s">
        <v>892</v>
      </c>
      <c r="FZ47" s="1269"/>
      <c r="GA47" s="1269"/>
      <c r="GB47" s="1269"/>
      <c r="GC47" s="1269"/>
      <c r="GD47" s="1269"/>
      <c r="GE47" s="1269"/>
      <c r="GF47" s="1269"/>
      <c r="GH47" s="1269" t="s">
        <v>892</v>
      </c>
      <c r="GI47" s="1269"/>
      <c r="GJ47" s="1269"/>
      <c r="GK47" s="1269"/>
      <c r="GL47" s="1269"/>
      <c r="GM47" s="1269"/>
      <c r="GN47" s="1269"/>
      <c r="GO47" s="1269"/>
      <c r="GQ47" s="1269" t="s">
        <v>892</v>
      </c>
      <c r="GR47" s="1269"/>
      <c r="GS47" s="1269"/>
      <c r="GT47" s="1269"/>
      <c r="GU47" s="1269"/>
      <c r="GV47" s="1269"/>
      <c r="GW47" s="1269"/>
      <c r="GX47" s="1269"/>
      <c r="GZ47" s="1269" t="s">
        <v>892</v>
      </c>
      <c r="HA47" s="1269"/>
      <c r="HB47" s="1269"/>
      <c r="HC47" s="1269"/>
      <c r="HD47" s="1269"/>
      <c r="HE47" s="1269"/>
      <c r="HF47" s="1269"/>
      <c r="HG47" s="1269"/>
      <c r="HI47" s="1269" t="s">
        <v>892</v>
      </c>
      <c r="HJ47" s="1269"/>
      <c r="HK47" s="1269"/>
      <c r="HL47" s="1269"/>
      <c r="HM47" s="1269"/>
      <c r="HN47" s="1269"/>
      <c r="HO47" s="1269"/>
      <c r="HP47" s="1269"/>
      <c r="HR47" s="1269" t="s">
        <v>473</v>
      </c>
      <c r="HS47" s="1269"/>
      <c r="HT47" s="1269"/>
      <c r="HU47" s="1269"/>
      <c r="HV47" s="1269"/>
      <c r="HW47" s="1269"/>
      <c r="HX47" s="1269"/>
      <c r="HY47" s="1269"/>
      <c r="IA47" s="1269" t="s">
        <v>473</v>
      </c>
      <c r="IB47" s="1269"/>
      <c r="IC47" s="1269"/>
      <c r="ID47" s="1269"/>
      <c r="IE47" s="1269"/>
      <c r="IF47" s="1269"/>
      <c r="IG47" s="1269"/>
      <c r="IH47" s="1269"/>
      <c r="IJ47" s="1269" t="s">
        <v>473</v>
      </c>
      <c r="IK47" s="1269"/>
      <c r="IL47" s="1269"/>
      <c r="IM47" s="1269"/>
      <c r="IN47" s="1269"/>
      <c r="IO47" s="1269"/>
      <c r="IP47" s="1269"/>
      <c r="IQ47" s="1269"/>
    </row>
    <row r="48" spans="2:251" ht="15" hidden="1" x14ac:dyDescent="0.3">
      <c r="B48" s="1256" t="s">
        <v>942</v>
      </c>
      <c r="C48" s="1256"/>
      <c r="D48" s="1256"/>
      <c r="E48" s="1256"/>
      <c r="F48" s="1256"/>
      <c r="G48" s="1256"/>
      <c r="H48" s="1256"/>
      <c r="I48" s="1256"/>
      <c r="K48" s="1256" t="s">
        <v>941</v>
      </c>
      <c r="L48" s="1256"/>
      <c r="M48" s="1256"/>
      <c r="N48" s="1256"/>
      <c r="O48" s="1256"/>
      <c r="P48" s="1256"/>
      <c r="Q48" s="1256"/>
      <c r="R48" s="1256"/>
      <c r="T48" s="1256" t="s">
        <v>940</v>
      </c>
      <c r="U48" s="1256"/>
      <c r="V48" s="1256"/>
      <c r="W48" s="1256"/>
      <c r="X48" s="1256"/>
      <c r="Y48" s="1256"/>
      <c r="Z48" s="1256"/>
      <c r="AA48" s="1256"/>
      <c r="AC48" s="1256" t="s">
        <v>939</v>
      </c>
      <c r="AD48" s="1256"/>
      <c r="AE48" s="1256"/>
      <c r="AF48" s="1256"/>
      <c r="AG48" s="1256"/>
      <c r="AH48" s="1256"/>
      <c r="AI48" s="1256"/>
      <c r="AJ48" s="1256"/>
      <c r="AL48" s="1256" t="s">
        <v>938</v>
      </c>
      <c r="AM48" s="1256"/>
      <c r="AN48" s="1256"/>
      <c r="AO48" s="1256"/>
      <c r="AP48" s="1256"/>
      <c r="AQ48" s="1256"/>
      <c r="AR48" s="1256"/>
      <c r="AS48" s="1256"/>
      <c r="AU48" s="1256" t="s">
        <v>937</v>
      </c>
      <c r="AV48" s="1256"/>
      <c r="AW48" s="1256"/>
      <c r="AX48" s="1256"/>
      <c r="AY48" s="1256"/>
      <c r="AZ48" s="1256"/>
      <c r="BA48" s="1256"/>
      <c r="BB48" s="1256"/>
      <c r="BD48" s="1256" t="s">
        <v>936</v>
      </c>
      <c r="BE48" s="1256"/>
      <c r="BF48" s="1256"/>
      <c r="BG48" s="1256"/>
      <c r="BH48" s="1256"/>
      <c r="BI48" s="1256"/>
      <c r="BJ48" s="1256"/>
      <c r="BK48" s="1256"/>
      <c r="BL48" s="1256" t="s">
        <v>935</v>
      </c>
      <c r="BM48" s="1256"/>
      <c r="BN48" s="1256"/>
      <c r="BO48" s="1256"/>
      <c r="BP48" s="1256"/>
      <c r="BQ48" s="1256"/>
      <c r="BR48" s="1256"/>
      <c r="BS48" s="1256"/>
      <c r="BU48" s="1256" t="s">
        <v>934</v>
      </c>
      <c r="BV48" s="1256"/>
      <c r="BW48" s="1256"/>
      <c r="BX48" s="1256"/>
      <c r="BY48" s="1256"/>
      <c r="BZ48" s="1256"/>
      <c r="CA48" s="1256"/>
      <c r="CB48" s="1256"/>
      <c r="CD48" s="1256" t="s">
        <v>933</v>
      </c>
      <c r="CE48" s="1256"/>
      <c r="CF48" s="1256"/>
      <c r="CG48" s="1256"/>
      <c r="CH48" s="1256"/>
      <c r="CI48" s="1256"/>
      <c r="CJ48" s="1256"/>
      <c r="CK48" s="1256"/>
      <c r="CM48" s="1273" t="s">
        <v>932</v>
      </c>
      <c r="CN48" s="1273"/>
      <c r="CO48" s="1273"/>
      <c r="CP48" s="1273"/>
      <c r="CQ48" s="1273"/>
      <c r="CR48" s="1273"/>
      <c r="CS48" s="1273"/>
      <c r="CT48" s="1273"/>
      <c r="CV48" s="1275" t="s">
        <v>891</v>
      </c>
      <c r="CW48" s="1275"/>
      <c r="CX48" s="1275"/>
      <c r="CY48" s="1275"/>
      <c r="CZ48" s="1275"/>
      <c r="DA48" s="1275"/>
      <c r="DB48" s="1275"/>
      <c r="DC48" s="1275"/>
      <c r="DE48" s="1269" t="s">
        <v>890</v>
      </c>
      <c r="DF48" s="1269"/>
      <c r="DG48" s="1269"/>
      <c r="DH48" s="1269"/>
      <c r="DI48" s="1269"/>
      <c r="DJ48" s="1269"/>
      <c r="DK48" s="1269"/>
      <c r="DL48" s="1269"/>
      <c r="DN48" s="1269" t="s">
        <v>889</v>
      </c>
      <c r="DO48" s="1269"/>
      <c r="DP48" s="1269"/>
      <c r="DQ48" s="1269"/>
      <c r="DR48" s="1269"/>
      <c r="DS48" s="1269"/>
      <c r="DT48" s="1269"/>
      <c r="DU48" s="1269"/>
      <c r="DW48" s="1269" t="s">
        <v>888</v>
      </c>
      <c r="DX48" s="1269"/>
      <c r="DY48" s="1269"/>
      <c r="DZ48" s="1269"/>
      <c r="EA48" s="1269"/>
      <c r="EB48" s="1269"/>
      <c r="EC48" s="1269"/>
      <c r="ED48" s="1269"/>
      <c r="EF48" s="1269" t="s">
        <v>887</v>
      </c>
      <c r="EG48" s="1269"/>
      <c r="EH48" s="1269"/>
      <c r="EI48" s="1269"/>
      <c r="EJ48" s="1269"/>
      <c r="EK48" s="1269"/>
      <c r="EL48" s="1269"/>
      <c r="EM48" s="1269"/>
      <c r="EO48" s="1269" t="s">
        <v>886</v>
      </c>
      <c r="EP48" s="1269"/>
      <c r="EQ48" s="1269"/>
      <c r="ER48" s="1269"/>
      <c r="ES48" s="1269"/>
      <c r="ET48" s="1269"/>
      <c r="EU48" s="1269"/>
      <c r="EV48" s="1269"/>
      <c r="EX48" s="1269" t="s">
        <v>885</v>
      </c>
      <c r="EY48" s="1269"/>
      <c r="EZ48" s="1269"/>
      <c r="FA48" s="1269"/>
      <c r="FB48" s="1269"/>
      <c r="FC48" s="1269"/>
      <c r="FD48" s="1269"/>
      <c r="FE48" s="1269"/>
      <c r="FG48" s="1269" t="s">
        <v>884</v>
      </c>
      <c r="FH48" s="1269"/>
      <c r="FI48" s="1269"/>
      <c r="FJ48" s="1269"/>
      <c r="FK48" s="1269"/>
      <c r="FL48" s="1269"/>
      <c r="FM48" s="1269"/>
      <c r="FN48" s="1269"/>
      <c r="FP48" s="1269" t="s">
        <v>883</v>
      </c>
      <c r="FQ48" s="1269"/>
      <c r="FR48" s="1269"/>
      <c r="FS48" s="1269"/>
      <c r="FT48" s="1269"/>
      <c r="FU48" s="1269"/>
      <c r="FV48" s="1269"/>
      <c r="FW48" s="1269"/>
      <c r="FY48" s="1269" t="s">
        <v>882</v>
      </c>
      <c r="FZ48" s="1269"/>
      <c r="GA48" s="1269"/>
      <c r="GB48" s="1269"/>
      <c r="GC48" s="1269"/>
      <c r="GD48" s="1269"/>
      <c r="GE48" s="1269"/>
      <c r="GF48" s="1269"/>
      <c r="GH48" s="1269" t="s">
        <v>881</v>
      </c>
      <c r="GI48" s="1269"/>
      <c r="GJ48" s="1269"/>
      <c r="GK48" s="1269"/>
      <c r="GL48" s="1269"/>
      <c r="GM48" s="1269"/>
      <c r="GN48" s="1269"/>
      <c r="GO48" s="1269"/>
      <c r="GQ48" s="1269" t="s">
        <v>880</v>
      </c>
      <c r="GR48" s="1269"/>
      <c r="GS48" s="1269"/>
      <c r="GT48" s="1269"/>
      <c r="GU48" s="1269"/>
      <c r="GV48" s="1269"/>
      <c r="GW48" s="1269"/>
      <c r="GX48" s="1269"/>
      <c r="GZ48" s="1269" t="s">
        <v>879</v>
      </c>
      <c r="HA48" s="1269"/>
      <c r="HB48" s="1269"/>
      <c r="HC48" s="1269"/>
      <c r="HD48" s="1269"/>
      <c r="HE48" s="1269"/>
      <c r="HF48" s="1269"/>
      <c r="HG48" s="1269"/>
      <c r="HI48" s="1269" t="s">
        <v>878</v>
      </c>
      <c r="HJ48" s="1269"/>
      <c r="HK48" s="1269"/>
      <c r="HL48" s="1269"/>
      <c r="HM48" s="1269"/>
      <c r="HN48" s="1269"/>
      <c r="HO48" s="1269"/>
      <c r="HP48" s="1269"/>
      <c r="HR48" s="1269" t="s">
        <v>877</v>
      </c>
      <c r="HS48" s="1269"/>
      <c r="HT48" s="1269"/>
      <c r="HU48" s="1269"/>
      <c r="HV48" s="1269"/>
      <c r="HW48" s="1269"/>
      <c r="HX48" s="1269"/>
      <c r="HY48" s="1269"/>
      <c r="IA48" s="1269" t="s">
        <v>876</v>
      </c>
      <c r="IB48" s="1269"/>
      <c r="IC48" s="1269"/>
      <c r="ID48" s="1269"/>
      <c r="IE48" s="1269"/>
      <c r="IF48" s="1269"/>
      <c r="IG48" s="1269"/>
      <c r="IH48" s="1269"/>
      <c r="IJ48" s="1269" t="s">
        <v>875</v>
      </c>
      <c r="IK48" s="1269"/>
      <c r="IL48" s="1269"/>
      <c r="IM48" s="1269"/>
      <c r="IN48" s="1269"/>
      <c r="IO48" s="1269"/>
      <c r="IP48" s="1269"/>
      <c r="IQ48" s="1269"/>
    </row>
    <row r="49" spans="2:251" ht="15.5" hidden="1" x14ac:dyDescent="0.35">
      <c r="B49" s="1071" t="s">
        <v>931</v>
      </c>
      <c r="C49" s="1071"/>
      <c r="D49" s="1071"/>
      <c r="E49" s="1071"/>
      <c r="F49" s="1071"/>
      <c r="G49" s="865"/>
      <c r="H49" s="865"/>
      <c r="I49" s="103"/>
      <c r="K49" s="1071" t="s">
        <v>931</v>
      </c>
      <c r="L49" s="1071"/>
      <c r="M49" s="1071"/>
      <c r="N49" s="1071"/>
      <c r="O49" s="1071"/>
      <c r="P49" s="865"/>
      <c r="Q49" s="865"/>
      <c r="R49" s="103"/>
      <c r="T49" s="1071" t="s">
        <v>931</v>
      </c>
      <c r="U49" s="1071"/>
      <c r="V49" s="1071"/>
      <c r="W49" s="1071"/>
      <c r="X49" s="1071"/>
      <c r="Y49" s="865"/>
      <c r="Z49" s="865"/>
      <c r="AA49" s="103"/>
      <c r="AC49" s="1071" t="s">
        <v>931</v>
      </c>
      <c r="AD49" s="1071"/>
      <c r="AE49" s="1071"/>
      <c r="AF49" s="1071"/>
      <c r="AG49" s="1071"/>
      <c r="AH49" s="865"/>
      <c r="AI49" s="865"/>
      <c r="AJ49" s="103"/>
      <c r="AL49" s="1071" t="s">
        <v>931</v>
      </c>
      <c r="AM49" s="1071"/>
      <c r="AN49" s="1071"/>
      <c r="AO49" s="1071"/>
      <c r="AP49" s="1071"/>
      <c r="AQ49" s="865"/>
      <c r="AR49" s="865"/>
      <c r="AS49" s="103"/>
      <c r="AU49" s="1071" t="s">
        <v>931</v>
      </c>
      <c r="AV49" s="1071"/>
      <c r="AW49" s="1071"/>
      <c r="AX49" s="1071"/>
      <c r="AY49" s="1071"/>
      <c r="AZ49" s="865"/>
      <c r="BA49" s="865"/>
      <c r="BB49" s="103"/>
      <c r="BD49" s="1071" t="s">
        <v>931</v>
      </c>
      <c r="BE49" s="1071"/>
      <c r="BF49" s="1071"/>
      <c r="BG49" s="1071"/>
      <c r="BH49" s="1071"/>
      <c r="BI49" s="865"/>
      <c r="BJ49" s="865"/>
      <c r="BK49" s="103"/>
      <c r="BL49" s="1071" t="s">
        <v>931</v>
      </c>
      <c r="BM49" s="1071"/>
      <c r="BN49" s="1071"/>
      <c r="BO49" s="1071"/>
      <c r="BP49" s="1071"/>
      <c r="BQ49" s="865"/>
      <c r="BR49" s="865"/>
      <c r="BS49" s="103"/>
      <c r="BU49" s="1071" t="s">
        <v>931</v>
      </c>
      <c r="BV49" s="1071"/>
      <c r="BW49" s="1071"/>
      <c r="BX49" s="1071"/>
      <c r="BY49" s="1071"/>
      <c r="BZ49" s="865"/>
      <c r="CA49" s="865"/>
      <c r="CB49" s="103"/>
      <c r="CD49" s="1071" t="s">
        <v>931</v>
      </c>
      <c r="CE49" s="1071"/>
      <c r="CF49" s="1071"/>
      <c r="CG49" s="1071"/>
      <c r="CH49" s="1071"/>
      <c r="CI49" s="865"/>
      <c r="CJ49" s="865"/>
      <c r="CK49" s="103"/>
      <c r="CM49" s="1105"/>
      <c r="CN49" s="1105"/>
      <c r="CO49" s="1105"/>
      <c r="CP49" s="1105"/>
      <c r="CQ49" s="1105"/>
      <c r="CR49" s="1073"/>
      <c r="CS49" s="1073"/>
      <c r="CT49" s="1063"/>
      <c r="CV49" s="1039"/>
      <c r="CW49" s="1039"/>
      <c r="CX49" s="1039"/>
      <c r="CY49" s="1039"/>
      <c r="CZ49" s="1039"/>
      <c r="DA49" s="1003"/>
      <c r="DB49" s="1003"/>
      <c r="DC49" s="1000"/>
      <c r="DE49" s="1038"/>
      <c r="DF49" s="1038"/>
      <c r="DG49" s="1038"/>
      <c r="DH49" s="1038"/>
      <c r="DI49" s="1038"/>
      <c r="DJ49" s="1005"/>
      <c r="DK49" s="1005"/>
      <c r="DL49" s="992"/>
      <c r="DN49" s="1038"/>
      <c r="DO49" s="1038"/>
      <c r="DP49" s="1038"/>
      <c r="DQ49" s="1038"/>
      <c r="DR49" s="1038"/>
      <c r="DS49" s="1005"/>
      <c r="DT49" s="1005"/>
      <c r="DU49" s="992"/>
      <c r="DW49" s="1038"/>
      <c r="DX49" s="1038"/>
      <c r="DY49" s="1038"/>
      <c r="DZ49" s="1038"/>
      <c r="EA49" s="1038"/>
      <c r="EB49" s="1005"/>
      <c r="EC49" s="1005"/>
      <c r="ED49" s="992"/>
      <c r="EF49" s="1038"/>
      <c r="EG49" s="1038"/>
      <c r="EH49" s="1038"/>
      <c r="EI49" s="1038"/>
      <c r="EJ49" s="1038"/>
      <c r="EK49" s="1005"/>
      <c r="EL49" s="1005"/>
      <c r="EM49" s="992"/>
      <c r="EO49" s="1038"/>
      <c r="EP49" s="1038"/>
      <c r="EQ49" s="1038"/>
      <c r="ER49" s="1038"/>
      <c r="ES49" s="1038"/>
      <c r="ET49" s="1005"/>
      <c r="EU49" s="1005"/>
      <c r="EV49" s="992"/>
      <c r="EX49" s="1038"/>
      <c r="EY49" s="1038"/>
      <c r="EZ49" s="1038"/>
      <c r="FA49" s="1038"/>
      <c r="FB49" s="1038"/>
      <c r="FC49" s="1005"/>
      <c r="FD49" s="1005"/>
      <c r="FE49" s="992"/>
      <c r="FG49" s="1038"/>
      <c r="FH49" s="1038"/>
      <c r="FI49" s="1038"/>
      <c r="FJ49" s="1038"/>
      <c r="FK49" s="1038"/>
      <c r="FL49" s="1005"/>
      <c r="FM49" s="1005"/>
      <c r="FN49" s="992"/>
      <c r="FP49" s="1038"/>
      <c r="FQ49" s="1038"/>
      <c r="FR49" s="1038"/>
      <c r="FS49" s="1038"/>
      <c r="FT49" s="1038"/>
      <c r="FU49" s="1005"/>
      <c r="FV49" s="1005"/>
      <c r="FW49" s="992"/>
      <c r="FY49" s="1038"/>
      <c r="FZ49" s="1038"/>
      <c r="GA49" s="1038"/>
      <c r="GB49" s="1038"/>
      <c r="GC49" s="1038"/>
      <c r="GD49" s="1005"/>
      <c r="GE49" s="1005"/>
      <c r="GF49" s="992"/>
      <c r="GH49" s="1038"/>
      <c r="GI49" s="1038"/>
      <c r="GJ49" s="1038"/>
      <c r="GK49" s="1038"/>
      <c r="GL49" s="1038"/>
      <c r="GM49" s="1005"/>
      <c r="GN49" s="1005"/>
      <c r="GO49" s="992"/>
      <c r="GQ49" s="1038"/>
      <c r="GR49" s="1038"/>
      <c r="GS49" s="1038"/>
      <c r="GT49" s="1038"/>
      <c r="GU49" s="1038"/>
      <c r="GV49" s="1005"/>
      <c r="GW49" s="1005"/>
      <c r="GX49" s="992"/>
      <c r="GZ49" s="1038"/>
      <c r="HA49" s="1038"/>
      <c r="HB49" s="1038"/>
      <c r="HC49" s="1038"/>
      <c r="HD49" s="1038"/>
      <c r="HE49" s="1005"/>
      <c r="HF49" s="1005"/>
      <c r="HG49" s="992"/>
      <c r="HI49" s="1038"/>
      <c r="HJ49" s="1038"/>
      <c r="HK49" s="1038"/>
      <c r="HL49" s="1038"/>
      <c r="HM49" s="1038"/>
      <c r="HN49" s="1005"/>
      <c r="HO49" s="1005"/>
      <c r="HP49" s="992"/>
      <c r="HR49" s="1038"/>
      <c r="HS49" s="1038"/>
      <c r="HT49" s="1038"/>
      <c r="HU49" s="1038"/>
      <c r="HV49" s="1038"/>
      <c r="HW49" s="1005"/>
      <c r="HX49" s="1005"/>
      <c r="HY49" s="992"/>
      <c r="IA49" s="1038"/>
      <c r="IB49" s="1038"/>
      <c r="IC49" s="1038"/>
      <c r="ID49" s="1038"/>
      <c r="IE49" s="1038"/>
      <c r="IF49" s="1005"/>
      <c r="IG49" s="1005"/>
      <c r="IH49" s="992"/>
      <c r="IJ49" s="1038"/>
      <c r="IK49" s="1038"/>
      <c r="IL49" s="1038"/>
      <c r="IM49" s="1038"/>
      <c r="IN49" s="1038"/>
      <c r="IO49" s="1005"/>
      <c r="IP49" s="1005"/>
      <c r="IQ49" s="992"/>
    </row>
    <row r="50" spans="2:251" ht="105" hidden="1" x14ac:dyDescent="0.3">
      <c r="B50" s="1069" t="s">
        <v>472</v>
      </c>
      <c r="C50" s="1104" t="s">
        <v>471</v>
      </c>
      <c r="D50" s="1070" t="s">
        <v>927</v>
      </c>
      <c r="E50" s="1103" t="s">
        <v>866</v>
      </c>
      <c r="F50" s="1103" t="s">
        <v>867</v>
      </c>
      <c r="G50" s="1103" t="s">
        <v>869</v>
      </c>
      <c r="H50" s="1103" t="s">
        <v>868</v>
      </c>
      <c r="I50" s="1069" t="s">
        <v>447</v>
      </c>
      <c r="K50" s="1069" t="s">
        <v>472</v>
      </c>
      <c r="L50" s="1104" t="s">
        <v>471</v>
      </c>
      <c r="M50" s="1070" t="s">
        <v>927</v>
      </c>
      <c r="N50" s="1103" t="s">
        <v>866</v>
      </c>
      <c r="O50" s="1103" t="s">
        <v>867</v>
      </c>
      <c r="P50" s="1103" t="s">
        <v>869</v>
      </c>
      <c r="Q50" s="1103" t="s">
        <v>868</v>
      </c>
      <c r="R50" s="1069" t="s">
        <v>447</v>
      </c>
      <c r="T50" s="1069" t="s">
        <v>472</v>
      </c>
      <c r="U50" s="1104" t="s">
        <v>471</v>
      </c>
      <c r="V50" s="1070" t="s">
        <v>927</v>
      </c>
      <c r="W50" s="1103" t="s">
        <v>866</v>
      </c>
      <c r="X50" s="1103" t="s">
        <v>867</v>
      </c>
      <c r="Y50" s="1103" t="s">
        <v>869</v>
      </c>
      <c r="Z50" s="1103" t="s">
        <v>868</v>
      </c>
      <c r="AA50" s="1069" t="s">
        <v>447</v>
      </c>
      <c r="AC50" s="1069" t="s">
        <v>472</v>
      </c>
      <c r="AD50" s="1104" t="s">
        <v>471</v>
      </c>
      <c r="AE50" s="1070" t="s">
        <v>927</v>
      </c>
      <c r="AF50" s="1103" t="s">
        <v>866</v>
      </c>
      <c r="AG50" s="1103" t="s">
        <v>867</v>
      </c>
      <c r="AH50" s="1103" t="s">
        <v>869</v>
      </c>
      <c r="AI50" s="1103" t="s">
        <v>868</v>
      </c>
      <c r="AJ50" s="1069" t="s">
        <v>447</v>
      </c>
      <c r="AL50" s="1069" t="s">
        <v>472</v>
      </c>
      <c r="AM50" s="1104" t="s">
        <v>471</v>
      </c>
      <c r="AN50" s="1070" t="s">
        <v>927</v>
      </c>
      <c r="AO50" s="1103" t="s">
        <v>866</v>
      </c>
      <c r="AP50" s="1103" t="s">
        <v>867</v>
      </c>
      <c r="AQ50" s="1103" t="s">
        <v>869</v>
      </c>
      <c r="AR50" s="1103" t="s">
        <v>868</v>
      </c>
      <c r="AS50" s="1069" t="s">
        <v>447</v>
      </c>
      <c r="AU50" s="1069" t="s">
        <v>472</v>
      </c>
      <c r="AV50" s="1104" t="s">
        <v>471</v>
      </c>
      <c r="AW50" s="1070" t="s">
        <v>927</v>
      </c>
      <c r="AX50" s="1103" t="s">
        <v>866</v>
      </c>
      <c r="AY50" s="1103" t="s">
        <v>867</v>
      </c>
      <c r="AZ50" s="1103" t="s">
        <v>869</v>
      </c>
      <c r="BA50" s="1103" t="s">
        <v>868</v>
      </c>
      <c r="BB50" s="1069" t="s">
        <v>447</v>
      </c>
      <c r="BD50" s="1069" t="s">
        <v>472</v>
      </c>
      <c r="BE50" s="1104" t="s">
        <v>471</v>
      </c>
      <c r="BF50" s="1070" t="s">
        <v>927</v>
      </c>
      <c r="BG50" s="1103" t="s">
        <v>866</v>
      </c>
      <c r="BH50" s="1103" t="s">
        <v>867</v>
      </c>
      <c r="BI50" s="1103" t="s">
        <v>869</v>
      </c>
      <c r="BJ50" s="1103" t="s">
        <v>868</v>
      </c>
      <c r="BK50" s="1069" t="s">
        <v>447</v>
      </c>
      <c r="BL50" s="1069" t="s">
        <v>472</v>
      </c>
      <c r="BM50" s="1104" t="s">
        <v>471</v>
      </c>
      <c r="BN50" s="1070" t="s">
        <v>373</v>
      </c>
      <c r="BO50" s="1103" t="s">
        <v>866</v>
      </c>
      <c r="BP50" s="1103" t="s">
        <v>867</v>
      </c>
      <c r="BQ50" s="1103" t="s">
        <v>869</v>
      </c>
      <c r="BR50" s="1103" t="s">
        <v>868</v>
      </c>
      <c r="BS50" s="1069" t="s">
        <v>447</v>
      </c>
      <c r="BU50" s="1069" t="s">
        <v>472</v>
      </c>
      <c r="BV50" s="1104" t="s">
        <v>471</v>
      </c>
      <c r="BW50" s="1070" t="s">
        <v>373</v>
      </c>
      <c r="BX50" s="1103" t="s">
        <v>866</v>
      </c>
      <c r="BY50" s="1103" t="s">
        <v>867</v>
      </c>
      <c r="BZ50" s="1103" t="s">
        <v>869</v>
      </c>
      <c r="CA50" s="1103" t="s">
        <v>868</v>
      </c>
      <c r="CB50" s="1069" t="s">
        <v>447</v>
      </c>
      <c r="CD50" s="1069" t="s">
        <v>472</v>
      </c>
      <c r="CE50" s="1104" t="s">
        <v>471</v>
      </c>
      <c r="CF50" s="1070" t="s">
        <v>373</v>
      </c>
      <c r="CG50" s="1103" t="s">
        <v>866</v>
      </c>
      <c r="CH50" s="1103" t="s">
        <v>867</v>
      </c>
      <c r="CI50" s="1103" t="s">
        <v>869</v>
      </c>
      <c r="CJ50" s="1103" t="s">
        <v>868</v>
      </c>
      <c r="CK50" s="1069" t="s">
        <v>447</v>
      </c>
      <c r="CM50" s="1099" t="s">
        <v>472</v>
      </c>
      <c r="CN50" s="1102" t="s">
        <v>471</v>
      </c>
      <c r="CO50" s="1101" t="s">
        <v>373</v>
      </c>
      <c r="CP50" s="1100" t="s">
        <v>866</v>
      </c>
      <c r="CQ50" s="1100" t="s">
        <v>867</v>
      </c>
      <c r="CR50" s="1100" t="s">
        <v>869</v>
      </c>
      <c r="CS50" s="1100" t="s">
        <v>868</v>
      </c>
      <c r="CT50" s="1099" t="s">
        <v>447</v>
      </c>
      <c r="CV50" s="1034" t="s">
        <v>472</v>
      </c>
      <c r="CW50" s="1037" t="s">
        <v>471</v>
      </c>
      <c r="CX50" s="1036" t="s">
        <v>373</v>
      </c>
      <c r="CY50" s="1035" t="s">
        <v>866</v>
      </c>
      <c r="CZ50" s="1035" t="s">
        <v>867</v>
      </c>
      <c r="DA50" s="1035" t="s">
        <v>869</v>
      </c>
      <c r="DB50" s="1035" t="s">
        <v>868</v>
      </c>
      <c r="DC50" s="1034" t="s">
        <v>447</v>
      </c>
      <c r="DE50" s="1011" t="s">
        <v>472</v>
      </c>
      <c r="DF50" s="1033" t="s">
        <v>471</v>
      </c>
      <c r="DG50" s="1032" t="s">
        <v>373</v>
      </c>
      <c r="DH50" s="1031" t="s">
        <v>866</v>
      </c>
      <c r="DI50" s="1031" t="s">
        <v>867</v>
      </c>
      <c r="DJ50" s="1031" t="s">
        <v>468</v>
      </c>
      <c r="DK50" s="1031" t="s">
        <v>467</v>
      </c>
      <c r="DL50" s="1011" t="s">
        <v>447</v>
      </c>
      <c r="DN50" s="1011" t="s">
        <v>472</v>
      </c>
      <c r="DO50" s="1033" t="s">
        <v>471</v>
      </c>
      <c r="DP50" s="1032" t="s">
        <v>373</v>
      </c>
      <c r="DQ50" s="1031" t="s">
        <v>866</v>
      </c>
      <c r="DR50" s="1031" t="s">
        <v>867</v>
      </c>
      <c r="DS50" s="1031" t="s">
        <v>468</v>
      </c>
      <c r="DT50" s="1031" t="s">
        <v>467</v>
      </c>
      <c r="DU50" s="1011" t="s">
        <v>447</v>
      </c>
      <c r="DW50" s="1011" t="s">
        <v>472</v>
      </c>
      <c r="DX50" s="1033" t="s">
        <v>471</v>
      </c>
      <c r="DY50" s="1032" t="s">
        <v>373</v>
      </c>
      <c r="DZ50" s="1031" t="s">
        <v>866</v>
      </c>
      <c r="EA50" s="1031" t="s">
        <v>867</v>
      </c>
      <c r="EB50" s="1031" t="s">
        <v>468</v>
      </c>
      <c r="EC50" s="1031" t="s">
        <v>467</v>
      </c>
      <c r="ED50" s="1011" t="s">
        <v>447</v>
      </c>
      <c r="EF50" s="1011" t="s">
        <v>472</v>
      </c>
      <c r="EG50" s="1033" t="s">
        <v>471</v>
      </c>
      <c r="EH50" s="1032" t="s">
        <v>373</v>
      </c>
      <c r="EI50" s="1031" t="s">
        <v>866</v>
      </c>
      <c r="EJ50" s="1031" t="s">
        <v>867</v>
      </c>
      <c r="EK50" s="1031" t="s">
        <v>468</v>
      </c>
      <c r="EL50" s="1031" t="s">
        <v>467</v>
      </c>
      <c r="EM50" s="1011" t="s">
        <v>447</v>
      </c>
      <c r="EO50" s="1011" t="s">
        <v>472</v>
      </c>
      <c r="EP50" s="1033" t="s">
        <v>471</v>
      </c>
      <c r="EQ50" s="1032" t="s">
        <v>373</v>
      </c>
      <c r="ER50" s="1031" t="s">
        <v>866</v>
      </c>
      <c r="ES50" s="1031" t="s">
        <v>867</v>
      </c>
      <c r="ET50" s="1031" t="s">
        <v>468</v>
      </c>
      <c r="EU50" s="1031" t="s">
        <v>467</v>
      </c>
      <c r="EV50" s="1011" t="s">
        <v>447</v>
      </c>
      <c r="EX50" s="1011" t="s">
        <v>472</v>
      </c>
      <c r="EY50" s="1033" t="s">
        <v>471</v>
      </c>
      <c r="EZ50" s="1032" t="s">
        <v>373</v>
      </c>
      <c r="FA50" s="1031" t="s">
        <v>866</v>
      </c>
      <c r="FB50" s="1031" t="s">
        <v>867</v>
      </c>
      <c r="FC50" s="1031" t="s">
        <v>468</v>
      </c>
      <c r="FD50" s="1031" t="s">
        <v>467</v>
      </c>
      <c r="FE50" s="1011" t="s">
        <v>447</v>
      </c>
      <c r="FG50" s="1011" t="s">
        <v>472</v>
      </c>
      <c r="FH50" s="1033" t="s">
        <v>471</v>
      </c>
      <c r="FI50" s="1032" t="s">
        <v>373</v>
      </c>
      <c r="FJ50" s="1031" t="s">
        <v>866</v>
      </c>
      <c r="FK50" s="1031" t="s">
        <v>867</v>
      </c>
      <c r="FL50" s="1031" t="s">
        <v>468</v>
      </c>
      <c r="FM50" s="1031" t="s">
        <v>467</v>
      </c>
      <c r="FN50" s="1011" t="s">
        <v>447</v>
      </c>
      <c r="FP50" s="1011" t="s">
        <v>472</v>
      </c>
      <c r="FQ50" s="1033" t="s">
        <v>471</v>
      </c>
      <c r="FR50" s="1032" t="s">
        <v>373</v>
      </c>
      <c r="FS50" s="1031" t="s">
        <v>866</v>
      </c>
      <c r="FT50" s="1031" t="s">
        <v>867</v>
      </c>
      <c r="FU50" s="1031" t="s">
        <v>468</v>
      </c>
      <c r="FV50" s="1031" t="s">
        <v>467</v>
      </c>
      <c r="FW50" s="1011" t="s">
        <v>447</v>
      </c>
      <c r="FY50" s="1011" t="s">
        <v>472</v>
      </c>
      <c r="FZ50" s="1033" t="s">
        <v>471</v>
      </c>
      <c r="GA50" s="1032" t="s">
        <v>373</v>
      </c>
      <c r="GB50" s="1031" t="s">
        <v>866</v>
      </c>
      <c r="GC50" s="1031" t="s">
        <v>867</v>
      </c>
      <c r="GD50" s="1031" t="s">
        <v>468</v>
      </c>
      <c r="GE50" s="1031" t="s">
        <v>467</v>
      </c>
      <c r="GF50" s="1011" t="s">
        <v>447</v>
      </c>
      <c r="GH50" s="1011" t="s">
        <v>472</v>
      </c>
      <c r="GI50" s="1033" t="s">
        <v>471</v>
      </c>
      <c r="GJ50" s="1032" t="s">
        <v>373</v>
      </c>
      <c r="GK50" s="1031" t="s">
        <v>866</v>
      </c>
      <c r="GL50" s="1031" t="s">
        <v>469</v>
      </c>
      <c r="GM50" s="1031" t="s">
        <v>468</v>
      </c>
      <c r="GN50" s="1031" t="s">
        <v>467</v>
      </c>
      <c r="GO50" s="1011" t="s">
        <v>447</v>
      </c>
      <c r="GQ50" s="1011" t="s">
        <v>472</v>
      </c>
      <c r="GR50" s="1033" t="s">
        <v>471</v>
      </c>
      <c r="GS50" s="1032" t="s">
        <v>373</v>
      </c>
      <c r="GT50" s="1031" t="s">
        <v>866</v>
      </c>
      <c r="GU50" s="1031" t="s">
        <v>867</v>
      </c>
      <c r="GV50" s="1031" t="s">
        <v>468</v>
      </c>
      <c r="GW50" s="1031" t="s">
        <v>467</v>
      </c>
      <c r="GX50" s="1011" t="s">
        <v>447</v>
      </c>
      <c r="GZ50" s="1011" t="s">
        <v>472</v>
      </c>
      <c r="HA50" s="1033" t="s">
        <v>471</v>
      </c>
      <c r="HB50" s="1032" t="s">
        <v>373</v>
      </c>
      <c r="HC50" s="1031" t="s">
        <v>866</v>
      </c>
      <c r="HD50" s="1031" t="s">
        <v>469</v>
      </c>
      <c r="HE50" s="1031" t="s">
        <v>468</v>
      </c>
      <c r="HF50" s="1031" t="s">
        <v>467</v>
      </c>
      <c r="HG50" s="1011" t="s">
        <v>447</v>
      </c>
      <c r="HI50" s="1011" t="s">
        <v>472</v>
      </c>
      <c r="HJ50" s="1033" t="s">
        <v>471</v>
      </c>
      <c r="HK50" s="1032" t="s">
        <v>373</v>
      </c>
      <c r="HL50" s="1031" t="s">
        <v>866</v>
      </c>
      <c r="HM50" s="1031" t="s">
        <v>469</v>
      </c>
      <c r="HN50" s="1031" t="s">
        <v>468</v>
      </c>
      <c r="HO50" s="1031" t="s">
        <v>467</v>
      </c>
      <c r="HP50" s="1011" t="s">
        <v>447</v>
      </c>
      <c r="HR50" s="1011" t="s">
        <v>472</v>
      </c>
      <c r="HS50" s="1033" t="s">
        <v>471</v>
      </c>
      <c r="HT50" s="1032" t="s">
        <v>373</v>
      </c>
      <c r="HU50" s="1031" t="s">
        <v>866</v>
      </c>
      <c r="HV50" s="1031" t="s">
        <v>469</v>
      </c>
      <c r="HW50" s="1031" t="s">
        <v>468</v>
      </c>
      <c r="HX50" s="1031" t="s">
        <v>467</v>
      </c>
      <c r="HY50" s="1011" t="s">
        <v>447</v>
      </c>
      <c r="IA50" s="1011" t="s">
        <v>472</v>
      </c>
      <c r="IB50" s="1033" t="s">
        <v>471</v>
      </c>
      <c r="IC50" s="1032" t="s">
        <v>373</v>
      </c>
      <c r="ID50" s="1031" t="s">
        <v>866</v>
      </c>
      <c r="IE50" s="1031" t="s">
        <v>469</v>
      </c>
      <c r="IF50" s="1031" t="s">
        <v>468</v>
      </c>
      <c r="IG50" s="1031" t="s">
        <v>467</v>
      </c>
      <c r="IH50" s="1011" t="s">
        <v>447</v>
      </c>
      <c r="IJ50" s="1011" t="s">
        <v>472</v>
      </c>
      <c r="IK50" s="1033" t="s">
        <v>471</v>
      </c>
      <c r="IL50" s="1032" t="s">
        <v>373</v>
      </c>
      <c r="IM50" s="1031" t="s">
        <v>866</v>
      </c>
      <c r="IN50" s="1031" t="s">
        <v>469</v>
      </c>
      <c r="IO50" s="1031" t="s">
        <v>468</v>
      </c>
      <c r="IP50" s="1031" t="s">
        <v>467</v>
      </c>
      <c r="IQ50" s="1011" t="s">
        <v>447</v>
      </c>
    </row>
    <row r="51" spans="2:251" ht="15.5" hidden="1" x14ac:dyDescent="0.35">
      <c r="B51" s="1065"/>
      <c r="C51" s="1067"/>
      <c r="D51" s="1058"/>
      <c r="E51" s="1067"/>
      <c r="F51" s="1067"/>
      <c r="G51" s="1064"/>
      <c r="H51" s="1058"/>
      <c r="I51" s="1066"/>
      <c r="K51" s="1065"/>
      <c r="L51" s="1067"/>
      <c r="M51" s="1058"/>
      <c r="N51" s="1067"/>
      <c r="O51" s="1067"/>
      <c r="P51" s="1064"/>
      <c r="Q51" s="1058"/>
      <c r="R51" s="1066"/>
      <c r="T51" s="1065"/>
      <c r="U51" s="1067"/>
      <c r="V51" s="1058"/>
      <c r="W51" s="1067"/>
      <c r="X51" s="1067"/>
      <c r="Y51" s="1064"/>
      <c r="Z51" s="1058"/>
      <c r="AA51" s="1066"/>
      <c r="AC51" s="1065"/>
      <c r="AD51" s="1067"/>
      <c r="AE51" s="1058"/>
      <c r="AF51" s="1067"/>
      <c r="AG51" s="1067"/>
      <c r="AH51" s="1064"/>
      <c r="AI51" s="1058"/>
      <c r="AJ51" s="1066"/>
      <c r="AL51" s="1065"/>
      <c r="AM51" s="1067"/>
      <c r="AN51" s="1058"/>
      <c r="AO51" s="1067"/>
      <c r="AP51" s="1067"/>
      <c r="AQ51" s="1064"/>
      <c r="AR51" s="1058"/>
      <c r="AS51" s="1066"/>
      <c r="AU51" s="1065"/>
      <c r="AV51" s="1067"/>
      <c r="AW51" s="1058"/>
      <c r="AX51" s="1067"/>
      <c r="AY51" s="1067"/>
      <c r="AZ51" s="1064"/>
      <c r="BA51" s="1058"/>
      <c r="BB51" s="1066"/>
      <c r="BD51" s="1058" t="s">
        <v>921</v>
      </c>
      <c r="BE51" s="1085"/>
      <c r="BF51" s="1061">
        <v>8500</v>
      </c>
      <c r="BG51" s="1060">
        <v>5585</v>
      </c>
      <c r="BH51" s="1060">
        <v>6100</v>
      </c>
      <c r="BI51" s="1192">
        <v>0</v>
      </c>
      <c r="BJ51" s="1060"/>
      <c r="BK51" s="1059">
        <f t="shared" ref="BK51:BK70" si="53">SUM(BE51:BJ51)</f>
        <v>20185</v>
      </c>
      <c r="BL51" s="1065"/>
      <c r="BM51" s="1067"/>
      <c r="BN51" s="1058"/>
      <c r="BO51" s="1067"/>
      <c r="BP51" s="1067"/>
      <c r="BQ51" s="1064"/>
      <c r="BR51" s="1058"/>
      <c r="BS51" s="1066"/>
      <c r="BU51" s="1058" t="s">
        <v>920</v>
      </c>
      <c r="BV51" s="1085"/>
      <c r="BW51" s="1061">
        <v>23774</v>
      </c>
      <c r="BX51" s="1060">
        <v>14890</v>
      </c>
      <c r="BY51" s="1060">
        <f>9700+1054-434</f>
        <v>10320</v>
      </c>
      <c r="BZ51" s="1060">
        <f>1825-184</f>
        <v>1641</v>
      </c>
      <c r="CA51" s="1060"/>
      <c r="CB51" s="1059">
        <f t="shared" ref="CB51:CB71" si="54">SUM(BV51:CA51)</f>
        <v>50625</v>
      </c>
      <c r="CD51" s="1058" t="s">
        <v>920</v>
      </c>
      <c r="CE51" s="1085"/>
      <c r="CF51" s="1061">
        <v>17127</v>
      </c>
      <c r="CG51" s="1060">
        <v>9000</v>
      </c>
      <c r="CH51" s="1060">
        <v>4354</v>
      </c>
      <c r="CI51" s="1060">
        <f>1825-184-581-263</f>
        <v>797</v>
      </c>
      <c r="CJ51" s="1060"/>
      <c r="CK51" s="1059">
        <f t="shared" ref="CK51:CK71" si="55">SUM(CE51:CJ51)</f>
        <v>31278</v>
      </c>
      <c r="CM51" s="1091" t="s">
        <v>920</v>
      </c>
      <c r="CN51" s="1088"/>
      <c r="CO51" s="1193">
        <f>7900+426</f>
        <v>8326</v>
      </c>
      <c r="CP51" s="1192">
        <v>0</v>
      </c>
      <c r="CQ51" s="1194">
        <v>4354</v>
      </c>
      <c r="CR51" s="1194">
        <v>280</v>
      </c>
      <c r="CS51" s="1194"/>
      <c r="CT51" s="1087">
        <f t="shared" ref="CT51:CT71" si="56">SUM(CN51:CS51)</f>
        <v>12960</v>
      </c>
      <c r="CV51" s="1098"/>
      <c r="CW51" s="1080"/>
      <c r="CX51" s="1090"/>
      <c r="CY51" s="1080"/>
      <c r="CZ51" s="1080"/>
      <c r="DA51" s="1030"/>
      <c r="DB51" s="1090"/>
      <c r="DC51" s="1097"/>
      <c r="DE51" s="1096"/>
      <c r="DF51" s="1079"/>
      <c r="DG51" s="1089"/>
      <c r="DH51" s="1079"/>
      <c r="DI51" s="1079"/>
      <c r="DJ51" s="1028"/>
      <c r="DK51" s="1089"/>
      <c r="DL51" s="1095"/>
      <c r="DN51" s="1096"/>
      <c r="DO51" s="1079"/>
      <c r="DP51" s="1089"/>
      <c r="DQ51" s="1079"/>
      <c r="DR51" s="1079"/>
      <c r="DS51" s="1028"/>
      <c r="DT51" s="1089"/>
      <c r="DU51" s="1095"/>
      <c r="DW51" s="1089" t="s">
        <v>863</v>
      </c>
      <c r="DX51" s="1088"/>
      <c r="DY51" s="1193">
        <v>13933</v>
      </c>
      <c r="DZ51" s="1194">
        <f>5200-1108</f>
        <v>4092</v>
      </c>
      <c r="EA51" s="1194">
        <f>5000-383</f>
        <v>4617</v>
      </c>
      <c r="EB51" s="1195"/>
      <c r="EC51" s="1195"/>
      <c r="ED51" s="1087">
        <f t="shared" ref="ED51:ED71" si="57">SUM(DX51:EC51)</f>
        <v>22642</v>
      </c>
      <c r="EF51" s="1096"/>
      <c r="EG51" s="1079"/>
      <c r="EH51" s="1089"/>
      <c r="EI51" s="1079"/>
      <c r="EJ51" s="1079"/>
      <c r="EK51" s="1028"/>
      <c r="EL51" s="1089"/>
      <c r="EM51" s="1095"/>
      <c r="EO51" s="1089" t="s">
        <v>862</v>
      </c>
      <c r="EP51" s="1088"/>
      <c r="EQ51" s="1193">
        <f>37925-3000</f>
        <v>34925</v>
      </c>
      <c r="ER51" s="1194">
        <f>22225-5</f>
        <v>22220</v>
      </c>
      <c r="ES51" s="1194">
        <f>11200-0</f>
        <v>11200</v>
      </c>
      <c r="ET51" s="1195">
        <v>2002</v>
      </c>
      <c r="EU51" s="1195"/>
      <c r="EV51" s="1087">
        <f t="shared" ref="EV51:EV71" si="58">SUM(EP51:EU51)</f>
        <v>70347</v>
      </c>
      <c r="EX51" s="1089" t="s">
        <v>862</v>
      </c>
      <c r="EY51" s="1088"/>
      <c r="EZ51" s="1193">
        <f>15089+10298</f>
        <v>25387</v>
      </c>
      <c r="FA51" s="1194">
        <f>13476-5</f>
        <v>13471</v>
      </c>
      <c r="FB51" s="1194">
        <f>6000-0</f>
        <v>6000</v>
      </c>
      <c r="FC51" s="1195">
        <v>1610</v>
      </c>
      <c r="FD51" s="1195"/>
      <c r="FE51" s="1087">
        <f t="shared" ref="FE51:FE71" si="59">SUM(EY51:FD51)</f>
        <v>46468</v>
      </c>
      <c r="FG51" s="1089" t="s">
        <v>862</v>
      </c>
      <c r="FH51" s="1088"/>
      <c r="FI51" s="1193">
        <v>16499</v>
      </c>
      <c r="FJ51" s="1194">
        <f>9476-5</f>
        <v>9471</v>
      </c>
      <c r="FK51" s="1194">
        <v>0</v>
      </c>
      <c r="FL51" s="1195">
        <v>1610</v>
      </c>
      <c r="FM51" s="1195"/>
      <c r="FN51" s="1087">
        <f t="shared" ref="FN51:FN71" si="60">SUM(FH51:FM51)</f>
        <v>27580</v>
      </c>
      <c r="FP51" s="1096"/>
      <c r="FQ51" s="1079"/>
      <c r="FR51" s="1089"/>
      <c r="FS51" s="1079"/>
      <c r="FT51" s="1079"/>
      <c r="FU51" s="1028"/>
      <c r="FV51" s="1089"/>
      <c r="FW51" s="1095"/>
      <c r="FY51" s="1089" t="s">
        <v>861</v>
      </c>
      <c r="FZ51" s="1088"/>
      <c r="GA51" s="1193">
        <f>37840-45</f>
        <v>37795</v>
      </c>
      <c r="GB51" s="1194">
        <f>10762-29</f>
        <v>10733</v>
      </c>
      <c r="GC51" s="1194">
        <f>12000-23</f>
        <v>11977</v>
      </c>
      <c r="GD51" s="1194">
        <f>1296</f>
        <v>1296</v>
      </c>
      <c r="GE51" s="1194"/>
      <c r="GF51" s="1087">
        <f t="shared" ref="GF51:GF71" si="61">SUM(FZ51:GE51)</f>
        <v>61801</v>
      </c>
      <c r="GH51" s="1089" t="s">
        <v>861</v>
      </c>
      <c r="GI51" s="1088"/>
      <c r="GJ51" s="1193">
        <f>32509-38</f>
        <v>32471</v>
      </c>
      <c r="GK51" s="1194">
        <v>3700</v>
      </c>
      <c r="GL51" s="1194">
        <f>6000-17</f>
        <v>5983</v>
      </c>
      <c r="GM51" s="1194"/>
      <c r="GN51" s="1194"/>
      <c r="GO51" s="1087">
        <f t="shared" ref="GO51:GO71" si="62">SUM(GI51:GN51)</f>
        <v>42154</v>
      </c>
      <c r="GQ51" s="1089" t="s">
        <v>861</v>
      </c>
      <c r="GR51" s="1088"/>
      <c r="GS51" s="1193">
        <v>22045</v>
      </c>
      <c r="GT51" s="1194"/>
      <c r="GU51" s="1194">
        <f>6000-17</f>
        <v>5983</v>
      </c>
      <c r="GV51" s="1194"/>
      <c r="GW51" s="1194"/>
      <c r="GX51" s="1087">
        <f t="shared" ref="GX51:GX71" si="63">SUM(GR51:GW51)</f>
        <v>28028</v>
      </c>
      <c r="GZ51" s="1096"/>
      <c r="HA51" s="1079"/>
      <c r="HB51" s="1089"/>
      <c r="HC51" s="1079"/>
      <c r="HD51" s="1079"/>
      <c r="HE51" s="1028"/>
      <c r="HF51" s="1089"/>
      <c r="HG51" s="1095"/>
      <c r="HI51" s="1096"/>
      <c r="HJ51" s="1079"/>
      <c r="HK51" s="1089"/>
      <c r="HL51" s="1079"/>
      <c r="HM51" s="1079"/>
      <c r="HN51" s="1028"/>
      <c r="HO51" s="1089"/>
      <c r="HP51" s="1095"/>
      <c r="HR51" s="1089" t="s">
        <v>860</v>
      </c>
      <c r="HS51" s="1088"/>
      <c r="HT51" s="1193">
        <f>32157-29</f>
        <v>32128</v>
      </c>
      <c r="HU51" s="1194">
        <f>14200</f>
        <v>14200</v>
      </c>
      <c r="HV51" s="1194">
        <f>8000-16</f>
        <v>7984</v>
      </c>
      <c r="HW51" s="1194">
        <f>3200</f>
        <v>3200</v>
      </c>
      <c r="HX51" s="1194"/>
      <c r="HY51" s="1087">
        <f t="shared" ref="HY51:HY71" si="64">SUM(HS51:HX51)</f>
        <v>57512</v>
      </c>
      <c r="IA51" s="1089" t="s">
        <v>860</v>
      </c>
      <c r="IB51" s="1088"/>
      <c r="IC51" s="1193">
        <f>19957-4</f>
        <v>19953</v>
      </c>
      <c r="ID51" s="1194">
        <f>10600</f>
        <v>10600</v>
      </c>
      <c r="IE51" s="1194">
        <f>3600-16</f>
        <v>3584</v>
      </c>
      <c r="IF51" s="1194">
        <f>1800</f>
        <v>1800</v>
      </c>
      <c r="IG51" s="1194"/>
      <c r="IH51" s="1087">
        <f t="shared" ref="IH51:IH71" si="65">SUM(IB51:IG51)</f>
        <v>35937</v>
      </c>
      <c r="IJ51" s="1096"/>
      <c r="IK51" s="1079"/>
      <c r="IL51" s="1089"/>
      <c r="IM51" s="1079"/>
      <c r="IN51" s="1079"/>
      <c r="IO51" s="1028"/>
      <c r="IP51" s="1089"/>
      <c r="IQ51" s="1095"/>
    </row>
    <row r="52" spans="2:251" ht="15.5" hidden="1" x14ac:dyDescent="0.35">
      <c r="B52" s="1064" t="s">
        <v>922</v>
      </c>
      <c r="C52" s="1085"/>
      <c r="D52" s="1061">
        <v>22759</v>
      </c>
      <c r="E52" s="1060">
        <v>11500</v>
      </c>
      <c r="F52" s="1061">
        <v>7190</v>
      </c>
      <c r="G52" s="1060">
        <v>368</v>
      </c>
      <c r="H52" s="1060"/>
      <c r="I52" s="1094">
        <f t="shared" ref="I52:I69" si="66">SUM(C52:H52)</f>
        <v>41817</v>
      </c>
      <c r="K52" s="1058" t="s">
        <v>922</v>
      </c>
      <c r="L52" s="1085"/>
      <c r="M52" s="1061">
        <v>19431</v>
      </c>
      <c r="N52" s="1060">
        <v>5700</v>
      </c>
      <c r="O52" s="1061">
        <v>4825</v>
      </c>
      <c r="P52" s="1060">
        <v>368</v>
      </c>
      <c r="Q52" s="1060"/>
      <c r="R52" s="1059">
        <f t="shared" ref="R52:R69" si="67">SUM(L52:Q52)</f>
        <v>30324</v>
      </c>
      <c r="T52" s="1058" t="s">
        <v>922</v>
      </c>
      <c r="U52" s="1085"/>
      <c r="V52" s="1061">
        <v>10769</v>
      </c>
      <c r="W52" s="1060">
        <v>5700</v>
      </c>
      <c r="X52" s="1196">
        <v>0</v>
      </c>
      <c r="Y52" s="1060">
        <v>368</v>
      </c>
      <c r="Z52" s="1060"/>
      <c r="AA52" s="1059">
        <f t="shared" ref="AA52:AA71" si="68">SUM(U52:Z52)</f>
        <v>16837</v>
      </c>
      <c r="AC52" s="1058" t="s">
        <v>921</v>
      </c>
      <c r="AD52" s="1085"/>
      <c r="AE52" s="1061">
        <v>25870</v>
      </c>
      <c r="AF52" s="1060">
        <v>19441</v>
      </c>
      <c r="AG52" s="1060">
        <v>10120</v>
      </c>
      <c r="AH52" s="1060">
        <v>1610</v>
      </c>
      <c r="AI52" s="1060"/>
      <c r="AJ52" s="1059">
        <f t="shared" ref="AJ52:AJ69" si="69">SUM(AD52:AI52)</f>
        <v>57041</v>
      </c>
      <c r="AL52" s="1058" t="s">
        <v>921</v>
      </c>
      <c r="AM52" s="1085"/>
      <c r="AN52" s="1061">
        <v>21550</v>
      </c>
      <c r="AO52" s="1060">
        <v>14281</v>
      </c>
      <c r="AP52" s="1060">
        <v>10020</v>
      </c>
      <c r="AQ52" s="1060">
        <v>1310</v>
      </c>
      <c r="AR52" s="1060"/>
      <c r="AS52" s="1059">
        <f t="shared" ref="AS52:AS71" si="70">SUM(AM52:AR52)</f>
        <v>47161</v>
      </c>
      <c r="AU52" s="1058" t="s">
        <v>921</v>
      </c>
      <c r="AV52" s="1085"/>
      <c r="AW52" s="1061">
        <v>16900</v>
      </c>
      <c r="AX52" s="1060">
        <v>10685</v>
      </c>
      <c r="AY52" s="1060">
        <v>6100</v>
      </c>
      <c r="AZ52" s="1060">
        <v>404</v>
      </c>
      <c r="BA52" s="1060"/>
      <c r="BB52" s="1059">
        <f t="shared" ref="BB52:BB71" si="71">SUM(AV52:BA52)</f>
        <v>34089</v>
      </c>
      <c r="BD52" s="1058" t="s">
        <v>920</v>
      </c>
      <c r="BE52" s="1085"/>
      <c r="BF52" s="1061">
        <v>20600</v>
      </c>
      <c r="BG52" s="1060">
        <v>14890</v>
      </c>
      <c r="BH52" s="1060">
        <f>9700+1054</f>
        <v>10754</v>
      </c>
      <c r="BI52" s="1060">
        <v>1825</v>
      </c>
      <c r="BJ52" s="1060"/>
      <c r="BK52" s="1059">
        <f t="shared" si="53"/>
        <v>48069</v>
      </c>
      <c r="BL52" s="1058" t="s">
        <v>920</v>
      </c>
      <c r="BM52" s="1085"/>
      <c r="BN52" s="1061">
        <v>31600</v>
      </c>
      <c r="BO52" s="1060">
        <v>14890</v>
      </c>
      <c r="BP52" s="1060">
        <f>9700+1054</f>
        <v>10754</v>
      </c>
      <c r="BQ52" s="1060">
        <v>1825</v>
      </c>
      <c r="BR52" s="1060"/>
      <c r="BS52" s="1059">
        <f t="shared" ref="BS52:BS71" si="72">SUM(BM52:BR52)</f>
        <v>59069</v>
      </c>
      <c r="BU52" s="1058" t="s">
        <v>863</v>
      </c>
      <c r="BV52" s="1085"/>
      <c r="BW52" s="1061">
        <v>4400</v>
      </c>
      <c r="BX52" s="1060">
        <v>20200</v>
      </c>
      <c r="BY52" s="1060">
        <v>9300</v>
      </c>
      <c r="BZ52" s="1093">
        <v>4349</v>
      </c>
      <c r="CA52" s="1093"/>
      <c r="CB52" s="1059">
        <f t="shared" si="54"/>
        <v>38249</v>
      </c>
      <c r="CD52" s="1058" t="s">
        <v>863</v>
      </c>
      <c r="CE52" s="1085"/>
      <c r="CF52" s="1061">
        <v>10180</v>
      </c>
      <c r="CG52" s="1060">
        <v>20200</v>
      </c>
      <c r="CH52" s="1060">
        <v>9300</v>
      </c>
      <c r="CI52" s="1093">
        <v>4349</v>
      </c>
      <c r="CJ52" s="1093"/>
      <c r="CK52" s="1059">
        <f t="shared" si="55"/>
        <v>44029</v>
      </c>
      <c r="CM52" s="1091" t="s">
        <v>863</v>
      </c>
      <c r="CN52" s="1088"/>
      <c r="CO52" s="1193">
        <f>19180+2683</f>
        <v>21863</v>
      </c>
      <c r="CP52" s="1194">
        <v>20200</v>
      </c>
      <c r="CQ52" s="1194">
        <v>9300</v>
      </c>
      <c r="CR52" s="1195">
        <v>4349</v>
      </c>
      <c r="CS52" s="1195"/>
      <c r="CT52" s="1087">
        <f t="shared" si="56"/>
        <v>55712</v>
      </c>
      <c r="CV52" s="1090" t="s">
        <v>863</v>
      </c>
      <c r="CW52" s="1088"/>
      <c r="CX52" s="1193">
        <f>46397-34</f>
        <v>46363</v>
      </c>
      <c r="CY52" s="1194">
        <v>20200</v>
      </c>
      <c r="CZ52" s="1194">
        <v>9300</v>
      </c>
      <c r="DA52" s="1195">
        <v>4349</v>
      </c>
      <c r="DB52" s="1195"/>
      <c r="DC52" s="1087">
        <f t="shared" ref="DC52:DC71" si="73">SUM(CW52:DB52)</f>
        <v>80212</v>
      </c>
      <c r="DE52" s="1089" t="s">
        <v>863</v>
      </c>
      <c r="DF52" s="1088"/>
      <c r="DG52" s="1193">
        <f>34176-31</f>
        <v>34145</v>
      </c>
      <c r="DH52" s="1194">
        <f>20200-5000</f>
        <v>15200</v>
      </c>
      <c r="DI52" s="1194">
        <f>9300</f>
        <v>9300</v>
      </c>
      <c r="DJ52" s="1195">
        <v>438</v>
      </c>
      <c r="DK52" s="1195"/>
      <c r="DL52" s="1087">
        <f t="shared" ref="DL52:DL71" si="74">SUM(DF52:DK52)</f>
        <v>59083</v>
      </c>
      <c r="DN52" s="1089" t="s">
        <v>863</v>
      </c>
      <c r="DO52" s="1088"/>
      <c r="DP52" s="1193">
        <f>21850-25</f>
        <v>21825</v>
      </c>
      <c r="DQ52" s="1194">
        <f>10200-5</f>
        <v>10195</v>
      </c>
      <c r="DR52" s="1194">
        <f>5000</f>
        <v>5000</v>
      </c>
      <c r="DS52" s="1195">
        <v>438</v>
      </c>
      <c r="DT52" s="1195"/>
      <c r="DU52" s="1087">
        <f t="shared" ref="DU52:DU71" si="75">SUM(DO52:DT52)</f>
        <v>37458</v>
      </c>
      <c r="DW52" s="1089" t="s">
        <v>862</v>
      </c>
      <c r="DX52" s="1088"/>
      <c r="DY52" s="1193">
        <v>14999</v>
      </c>
      <c r="DZ52" s="1194">
        <f>28225-47</f>
        <v>28178</v>
      </c>
      <c r="EA52" s="1194">
        <f>11200</f>
        <v>11200</v>
      </c>
      <c r="EB52" s="1194">
        <v>4931</v>
      </c>
      <c r="EC52" s="1194"/>
      <c r="ED52" s="1087">
        <f t="shared" si="57"/>
        <v>59308</v>
      </c>
      <c r="EF52" s="1089" t="s">
        <v>862</v>
      </c>
      <c r="EG52" s="1088"/>
      <c r="EH52" s="1193">
        <f>38185-22</f>
        <v>38163</v>
      </c>
      <c r="EI52" s="1194">
        <f>28225-5</f>
        <v>28220</v>
      </c>
      <c r="EJ52" s="1194">
        <f>11200</f>
        <v>11200</v>
      </c>
      <c r="EK52" s="1195">
        <v>4931</v>
      </c>
      <c r="EL52" s="1195"/>
      <c r="EM52" s="1087">
        <f t="shared" ref="EM52:EM71" si="76">SUM(EG52:EL52)</f>
        <v>82514</v>
      </c>
      <c r="EO52" s="1089" t="s">
        <v>861</v>
      </c>
      <c r="EP52" s="1088"/>
      <c r="EQ52" s="1193">
        <v>3000</v>
      </c>
      <c r="ER52" s="1194">
        <f>14800-35</f>
        <v>14765</v>
      </c>
      <c r="ES52" s="1194">
        <f>18000</f>
        <v>18000</v>
      </c>
      <c r="ET52" s="1194">
        <f>2631</f>
        <v>2631</v>
      </c>
      <c r="EU52" s="1194"/>
      <c r="EV52" s="1087">
        <f t="shared" si="58"/>
        <v>38396</v>
      </c>
      <c r="EX52" s="1089" t="s">
        <v>861</v>
      </c>
      <c r="EY52" s="1088"/>
      <c r="EZ52" s="1193">
        <f>7000+13</f>
        <v>7013</v>
      </c>
      <c r="FA52" s="1194">
        <f>13762-41</f>
        <v>13721</v>
      </c>
      <c r="FB52" s="1194">
        <f>16650</f>
        <v>16650</v>
      </c>
      <c r="FC52" s="1194">
        <f>2631</f>
        <v>2631</v>
      </c>
      <c r="FD52" s="1194"/>
      <c r="FE52" s="1087">
        <f t="shared" si="59"/>
        <v>40015</v>
      </c>
      <c r="FG52" s="1089" t="s">
        <v>861</v>
      </c>
      <c r="FH52" s="1088"/>
      <c r="FI52" s="1193">
        <f>17776-27</f>
        <v>17749</v>
      </c>
      <c r="FJ52" s="1194">
        <f>13762-53</f>
        <v>13709</v>
      </c>
      <c r="FK52" s="1194">
        <f>16650</f>
        <v>16650</v>
      </c>
      <c r="FL52" s="1194">
        <f>2631</f>
        <v>2631</v>
      </c>
      <c r="FM52" s="1194"/>
      <c r="FN52" s="1087">
        <f t="shared" si="60"/>
        <v>50739</v>
      </c>
      <c r="FP52" s="1089" t="s">
        <v>861</v>
      </c>
      <c r="FQ52" s="1088"/>
      <c r="FR52" s="1193">
        <f>38830-43</f>
        <v>38787</v>
      </c>
      <c r="FS52" s="1194">
        <f>13762-29</f>
        <v>13733</v>
      </c>
      <c r="FT52" s="1194">
        <f>16650-27</f>
        <v>16623</v>
      </c>
      <c r="FU52" s="1194">
        <f>2631</f>
        <v>2631</v>
      </c>
      <c r="FV52" s="1194"/>
      <c r="FW52" s="1087">
        <f t="shared" ref="FW52:FW71" si="77">SUM(FQ52:FV52)</f>
        <v>71774</v>
      </c>
      <c r="FY52" s="1089" t="s">
        <v>860</v>
      </c>
      <c r="FZ52" s="1088"/>
      <c r="GA52" s="1193">
        <f>5350</f>
        <v>5350</v>
      </c>
      <c r="GB52" s="1194">
        <f>19800</f>
        <v>19800</v>
      </c>
      <c r="GC52" s="1194">
        <f>11700-27</f>
        <v>11673</v>
      </c>
      <c r="GD52" s="1194">
        <f>6513</f>
        <v>6513</v>
      </c>
      <c r="GE52" s="1194"/>
      <c r="GF52" s="1087">
        <f t="shared" si="61"/>
        <v>43336</v>
      </c>
      <c r="GH52" s="1089" t="s">
        <v>860</v>
      </c>
      <c r="GI52" s="1088"/>
      <c r="GJ52" s="1193">
        <v>8050</v>
      </c>
      <c r="GK52" s="1194">
        <f>19800</f>
        <v>19800</v>
      </c>
      <c r="GL52" s="1194">
        <f>11700-27</f>
        <v>11673</v>
      </c>
      <c r="GM52" s="1194">
        <f>6513</f>
        <v>6513</v>
      </c>
      <c r="GN52" s="1194"/>
      <c r="GO52" s="1087">
        <f t="shared" si="62"/>
        <v>46036</v>
      </c>
      <c r="GQ52" s="1089" t="s">
        <v>860</v>
      </c>
      <c r="GR52" s="1088"/>
      <c r="GS52" s="1193">
        <v>16516</v>
      </c>
      <c r="GT52" s="1194">
        <f>19800</f>
        <v>19800</v>
      </c>
      <c r="GU52" s="1194">
        <f>11700-27</f>
        <v>11673</v>
      </c>
      <c r="GV52" s="1194">
        <f>6513</f>
        <v>6513</v>
      </c>
      <c r="GW52" s="1194"/>
      <c r="GX52" s="1087">
        <f t="shared" si="63"/>
        <v>54502</v>
      </c>
      <c r="GZ52" s="1089" t="s">
        <v>860</v>
      </c>
      <c r="HA52" s="1088"/>
      <c r="HB52" s="1193">
        <v>39611</v>
      </c>
      <c r="HC52" s="1194">
        <f>19800</f>
        <v>19800</v>
      </c>
      <c r="HD52" s="1194">
        <f>11700-27</f>
        <v>11673</v>
      </c>
      <c r="HE52" s="1194">
        <f>6513</f>
        <v>6513</v>
      </c>
      <c r="HF52" s="1194"/>
      <c r="HG52" s="1087">
        <f t="shared" ref="HG52:HG71" si="78">SUM(HA52:HF52)</f>
        <v>77597</v>
      </c>
      <c r="HI52" s="1089" t="s">
        <v>860</v>
      </c>
      <c r="HJ52" s="1088"/>
      <c r="HK52" s="1193">
        <f>18180+15720-35</f>
        <v>33865</v>
      </c>
      <c r="HL52" s="1194">
        <f>19800</f>
        <v>19800</v>
      </c>
      <c r="HM52" s="1194">
        <f>11700-27</f>
        <v>11673</v>
      </c>
      <c r="HN52" s="1194">
        <f>4118</f>
        <v>4118</v>
      </c>
      <c r="HO52" s="1194"/>
      <c r="HP52" s="1087">
        <f t="shared" ref="HP52:HP71" si="79">SUM(HJ52:HO52)</f>
        <v>69456</v>
      </c>
      <c r="HR52" s="1089" t="s">
        <v>859</v>
      </c>
      <c r="HS52" s="1088"/>
      <c r="HT52" s="1193">
        <f>9750-17</f>
        <v>9733</v>
      </c>
      <c r="HU52" s="1194">
        <f>24196-17</f>
        <v>24179</v>
      </c>
      <c r="HV52" s="1194">
        <f>30300-2</f>
        <v>30298</v>
      </c>
      <c r="HW52" s="1194">
        <f>6083</f>
        <v>6083</v>
      </c>
      <c r="HX52" s="1194"/>
      <c r="HY52" s="1087">
        <f t="shared" si="64"/>
        <v>70293</v>
      </c>
      <c r="IA52" s="1089" t="s">
        <v>859</v>
      </c>
      <c r="IB52" s="1088"/>
      <c r="IC52" s="1193">
        <f>26424-36</f>
        <v>26388</v>
      </c>
      <c r="ID52" s="1194">
        <f>24196-17</f>
        <v>24179</v>
      </c>
      <c r="IE52" s="1194">
        <f>30300-1</f>
        <v>30299</v>
      </c>
      <c r="IF52" s="1194">
        <f>6083</f>
        <v>6083</v>
      </c>
      <c r="IG52" s="1194"/>
      <c r="IH52" s="1087">
        <f t="shared" si="65"/>
        <v>86949</v>
      </c>
      <c r="IJ52" s="1089" t="s">
        <v>859</v>
      </c>
      <c r="IK52" s="1088"/>
      <c r="IL52" s="1193">
        <v>59732</v>
      </c>
      <c r="IM52" s="1194">
        <f>24196-17</f>
        <v>24179</v>
      </c>
      <c r="IN52" s="1194">
        <f>30300-1</f>
        <v>30299</v>
      </c>
      <c r="IO52" s="1194">
        <f>6083-1</f>
        <v>6082</v>
      </c>
      <c r="IP52" s="1194"/>
      <c r="IQ52" s="1087">
        <f t="shared" ref="IQ52:IQ71" si="80">SUM(IK52:IP52)</f>
        <v>120292</v>
      </c>
    </row>
    <row r="53" spans="2:251" ht="15.5" hidden="1" x14ac:dyDescent="0.35">
      <c r="B53" s="1058" t="s">
        <v>921</v>
      </c>
      <c r="C53" s="1085"/>
      <c r="D53" s="1061">
        <v>3070</v>
      </c>
      <c r="E53" s="1060">
        <v>19441</v>
      </c>
      <c r="F53" s="1060">
        <v>10120</v>
      </c>
      <c r="G53" s="1060">
        <v>1610</v>
      </c>
      <c r="H53" s="1060"/>
      <c r="I53" s="1059">
        <f t="shared" si="66"/>
        <v>34241</v>
      </c>
      <c r="K53" s="1058" t="s">
        <v>921</v>
      </c>
      <c r="L53" s="1085"/>
      <c r="M53" s="1061">
        <v>5870</v>
      </c>
      <c r="N53" s="1060">
        <v>19441</v>
      </c>
      <c r="O53" s="1060">
        <v>10120</v>
      </c>
      <c r="P53" s="1060">
        <v>1610</v>
      </c>
      <c r="Q53" s="1060"/>
      <c r="R53" s="1059">
        <f t="shared" si="67"/>
        <v>37041</v>
      </c>
      <c r="T53" s="1058" t="s">
        <v>921</v>
      </c>
      <c r="U53" s="1085"/>
      <c r="V53" s="1061">
        <v>14320</v>
      </c>
      <c r="W53" s="1060">
        <v>19441</v>
      </c>
      <c r="X53" s="1060">
        <v>10120</v>
      </c>
      <c r="Y53" s="1060">
        <v>1610</v>
      </c>
      <c r="Z53" s="1060"/>
      <c r="AA53" s="1059">
        <f t="shared" si="68"/>
        <v>45491</v>
      </c>
      <c r="AC53" s="1058" t="s">
        <v>920</v>
      </c>
      <c r="AD53" s="1085"/>
      <c r="AE53" s="1061"/>
      <c r="AF53" s="1060">
        <v>14890</v>
      </c>
      <c r="AG53" s="1060">
        <f>9700+1054</f>
        <v>10754</v>
      </c>
      <c r="AH53" s="1060">
        <v>1826</v>
      </c>
      <c r="AI53" s="1060"/>
      <c r="AJ53" s="1059">
        <f t="shared" si="69"/>
        <v>27470</v>
      </c>
      <c r="AL53" s="1058" t="s">
        <v>920</v>
      </c>
      <c r="AM53" s="1085"/>
      <c r="AN53" s="1061">
        <v>6400</v>
      </c>
      <c r="AO53" s="1060">
        <v>14890</v>
      </c>
      <c r="AP53" s="1060">
        <f>9700+1054</f>
        <v>10754</v>
      </c>
      <c r="AQ53" s="1060">
        <v>1826</v>
      </c>
      <c r="AR53" s="1060"/>
      <c r="AS53" s="1059">
        <f t="shared" si="70"/>
        <v>33870</v>
      </c>
      <c r="AU53" s="1058" t="s">
        <v>920</v>
      </c>
      <c r="AV53" s="1085"/>
      <c r="AW53" s="1061">
        <v>9400</v>
      </c>
      <c r="AX53" s="1060">
        <v>14890</v>
      </c>
      <c r="AY53" s="1060">
        <f>9700+1054</f>
        <v>10754</v>
      </c>
      <c r="AZ53" s="1060">
        <v>1826</v>
      </c>
      <c r="BA53" s="1060"/>
      <c r="BB53" s="1059">
        <f t="shared" si="71"/>
        <v>36870</v>
      </c>
      <c r="BD53" s="1058" t="s">
        <v>863</v>
      </c>
      <c r="BE53" s="1085"/>
      <c r="BF53" s="1061"/>
      <c r="BG53" s="1060">
        <v>20200</v>
      </c>
      <c r="BH53" s="1060">
        <v>9300</v>
      </c>
      <c r="BI53" s="1093">
        <v>4349</v>
      </c>
      <c r="BJ53" s="1093"/>
      <c r="BK53" s="1059">
        <f t="shared" si="53"/>
        <v>33849</v>
      </c>
      <c r="BL53" s="1058" t="s">
        <v>863</v>
      </c>
      <c r="BM53" s="1085"/>
      <c r="BN53" s="1061"/>
      <c r="BO53" s="1060">
        <v>20200</v>
      </c>
      <c r="BP53" s="1060">
        <v>9300</v>
      </c>
      <c r="BQ53" s="1093">
        <v>4349</v>
      </c>
      <c r="BR53" s="1093"/>
      <c r="BS53" s="1059">
        <f t="shared" si="72"/>
        <v>33849</v>
      </c>
      <c r="BU53" s="1058" t="s">
        <v>862</v>
      </c>
      <c r="BV53" s="1085"/>
      <c r="BW53" s="1061"/>
      <c r="BX53" s="1060">
        <v>21025</v>
      </c>
      <c r="BY53" s="1060">
        <v>11200</v>
      </c>
      <c r="BZ53" s="1060">
        <v>4931</v>
      </c>
      <c r="CA53" s="1060"/>
      <c r="CB53" s="1059">
        <f t="shared" si="54"/>
        <v>37156</v>
      </c>
      <c r="CD53" s="1058" t="s">
        <v>862</v>
      </c>
      <c r="CE53" s="1085"/>
      <c r="CF53" s="1061"/>
      <c r="CG53" s="1060">
        <v>21025</v>
      </c>
      <c r="CH53" s="1060">
        <v>11200</v>
      </c>
      <c r="CI53" s="1060">
        <v>4931</v>
      </c>
      <c r="CJ53" s="1060"/>
      <c r="CK53" s="1059">
        <f t="shared" si="55"/>
        <v>37156</v>
      </c>
      <c r="CM53" s="1091" t="s">
        <v>862</v>
      </c>
      <c r="CN53" s="1088"/>
      <c r="CO53" s="1193"/>
      <c r="CP53" s="1194">
        <v>21025</v>
      </c>
      <c r="CQ53" s="1194">
        <v>11200</v>
      </c>
      <c r="CR53" s="1194">
        <v>4931</v>
      </c>
      <c r="CS53" s="1194"/>
      <c r="CT53" s="1087">
        <f t="shared" si="56"/>
        <v>37156</v>
      </c>
      <c r="CV53" s="1090" t="s">
        <v>862</v>
      </c>
      <c r="CW53" s="1088"/>
      <c r="CX53" s="1193"/>
      <c r="CY53" s="1194">
        <f>28225-47</f>
        <v>28178</v>
      </c>
      <c r="CZ53" s="1194">
        <v>11200</v>
      </c>
      <c r="DA53" s="1194">
        <v>4931</v>
      </c>
      <c r="DB53" s="1194"/>
      <c r="DC53" s="1087">
        <f t="shared" si="73"/>
        <v>44309</v>
      </c>
      <c r="DE53" s="1089" t="s">
        <v>862</v>
      </c>
      <c r="DF53" s="1088"/>
      <c r="DG53" s="1193"/>
      <c r="DH53" s="1194">
        <f>28225-47</f>
        <v>28178</v>
      </c>
      <c r="DI53" s="1194">
        <f>11200</f>
        <v>11200</v>
      </c>
      <c r="DJ53" s="1194">
        <v>4931</v>
      </c>
      <c r="DK53" s="1194"/>
      <c r="DL53" s="1087">
        <f t="shared" si="74"/>
        <v>44309</v>
      </c>
      <c r="DN53" s="1089" t="s">
        <v>862</v>
      </c>
      <c r="DO53" s="1088"/>
      <c r="DP53" s="1193">
        <v>2967</v>
      </c>
      <c r="DQ53" s="1194">
        <f>28225-47</f>
        <v>28178</v>
      </c>
      <c r="DR53" s="1194">
        <f>11200</f>
        <v>11200</v>
      </c>
      <c r="DS53" s="1194">
        <v>4931</v>
      </c>
      <c r="DT53" s="1194"/>
      <c r="DU53" s="1087">
        <f t="shared" si="75"/>
        <v>47276</v>
      </c>
      <c r="DW53" s="1089" t="s">
        <v>861</v>
      </c>
      <c r="DX53" s="1088"/>
      <c r="DY53" s="1193"/>
      <c r="DZ53" s="1194">
        <f>14800</f>
        <v>14800</v>
      </c>
      <c r="EA53" s="1194">
        <f>18000-72</f>
        <v>17928</v>
      </c>
      <c r="EB53" s="1194">
        <f>2631</f>
        <v>2631</v>
      </c>
      <c r="EC53" s="1194"/>
      <c r="ED53" s="1087">
        <f t="shared" si="57"/>
        <v>35359</v>
      </c>
      <c r="EF53" s="1089" t="s">
        <v>861</v>
      </c>
      <c r="EG53" s="1088"/>
      <c r="EH53" s="1193"/>
      <c r="EI53" s="1194">
        <f>14800-43</f>
        <v>14757</v>
      </c>
      <c r="EJ53" s="1194">
        <f>18000</f>
        <v>18000</v>
      </c>
      <c r="EK53" s="1194">
        <f>2631</f>
        <v>2631</v>
      </c>
      <c r="EL53" s="1194"/>
      <c r="EM53" s="1087">
        <f t="shared" si="76"/>
        <v>35388</v>
      </c>
      <c r="EO53" s="1089" t="s">
        <v>860</v>
      </c>
      <c r="EP53" s="1088"/>
      <c r="EQ53" s="1193"/>
      <c r="ER53" s="1194">
        <f>26800</f>
        <v>26800</v>
      </c>
      <c r="ES53" s="1194">
        <f>11700-31</f>
        <v>11669</v>
      </c>
      <c r="ET53" s="1194">
        <f>6513</f>
        <v>6513</v>
      </c>
      <c r="EU53" s="1194"/>
      <c r="EV53" s="1087">
        <f t="shared" si="58"/>
        <v>44982</v>
      </c>
      <c r="EX53" s="1089" t="s">
        <v>860</v>
      </c>
      <c r="EY53" s="1088"/>
      <c r="EZ53" s="1193"/>
      <c r="FA53" s="1194">
        <f>19800</f>
        <v>19800</v>
      </c>
      <c r="FB53" s="1194">
        <f>11700-31-39</f>
        <v>11630</v>
      </c>
      <c r="FC53" s="1194">
        <f>6513</f>
        <v>6513</v>
      </c>
      <c r="FD53" s="1194"/>
      <c r="FE53" s="1087">
        <f t="shared" si="59"/>
        <v>37943</v>
      </c>
      <c r="FG53" s="1089" t="s">
        <v>860</v>
      </c>
      <c r="FH53" s="1088"/>
      <c r="FI53" s="1193"/>
      <c r="FJ53" s="1194">
        <f>19800</f>
        <v>19800</v>
      </c>
      <c r="FK53" s="1194">
        <f>11700-31-29</f>
        <v>11640</v>
      </c>
      <c r="FL53" s="1194">
        <f>6513</f>
        <v>6513</v>
      </c>
      <c r="FM53" s="1194"/>
      <c r="FN53" s="1087">
        <f t="shared" si="60"/>
        <v>37953</v>
      </c>
      <c r="FP53" s="1089" t="s">
        <v>860</v>
      </c>
      <c r="FQ53" s="1088"/>
      <c r="FR53" s="1193"/>
      <c r="FS53" s="1194">
        <f>19800</f>
        <v>19800</v>
      </c>
      <c r="FT53" s="1194">
        <f>11700-27</f>
        <v>11673</v>
      </c>
      <c r="FU53" s="1194">
        <f>6513</f>
        <v>6513</v>
      </c>
      <c r="FV53" s="1194"/>
      <c r="FW53" s="1087">
        <f t="shared" si="77"/>
        <v>37986</v>
      </c>
      <c r="FY53" s="1089" t="s">
        <v>859</v>
      </c>
      <c r="FZ53" s="1088"/>
      <c r="GA53" s="1193"/>
      <c r="GB53" s="1194">
        <f>24196-18</f>
        <v>24178</v>
      </c>
      <c r="GC53" s="1194">
        <f>30300-6</f>
        <v>30294</v>
      </c>
      <c r="GD53" s="1194">
        <f>6083</f>
        <v>6083</v>
      </c>
      <c r="GE53" s="1194"/>
      <c r="GF53" s="1087">
        <f t="shared" si="61"/>
        <v>60555</v>
      </c>
      <c r="GH53" s="1089" t="s">
        <v>859</v>
      </c>
      <c r="GI53" s="1088"/>
      <c r="GJ53" s="1193"/>
      <c r="GK53" s="1194">
        <f>24196-18</f>
        <v>24178</v>
      </c>
      <c r="GL53" s="1194">
        <f>30300-6</f>
        <v>30294</v>
      </c>
      <c r="GM53" s="1194">
        <f>6083</f>
        <v>6083</v>
      </c>
      <c r="GN53" s="1194"/>
      <c r="GO53" s="1087">
        <f t="shared" si="62"/>
        <v>60555</v>
      </c>
      <c r="GQ53" s="1089" t="s">
        <v>859</v>
      </c>
      <c r="GR53" s="1088"/>
      <c r="GS53" s="1193"/>
      <c r="GT53" s="1194">
        <f>24196-18</f>
        <v>24178</v>
      </c>
      <c r="GU53" s="1194">
        <f>30300-6</f>
        <v>30294</v>
      </c>
      <c r="GV53" s="1194">
        <f>6083</f>
        <v>6083</v>
      </c>
      <c r="GW53" s="1194"/>
      <c r="GX53" s="1087">
        <f t="shared" si="63"/>
        <v>60555</v>
      </c>
      <c r="GZ53" s="1089" t="s">
        <v>859</v>
      </c>
      <c r="HA53" s="1088"/>
      <c r="HB53" s="1193"/>
      <c r="HC53" s="1194">
        <f>24196-17</f>
        <v>24179</v>
      </c>
      <c r="HD53" s="1194">
        <f>30300-5</f>
        <v>30295</v>
      </c>
      <c r="HE53" s="1194">
        <f>6083</f>
        <v>6083</v>
      </c>
      <c r="HF53" s="1194"/>
      <c r="HG53" s="1087">
        <f t="shared" si="78"/>
        <v>60557</v>
      </c>
      <c r="HI53" s="1089" t="s">
        <v>859</v>
      </c>
      <c r="HJ53" s="1088"/>
      <c r="HK53" s="1193">
        <f>3750</f>
        <v>3750</v>
      </c>
      <c r="HL53" s="1194">
        <f>24196-17</f>
        <v>24179</v>
      </c>
      <c r="HM53" s="1194">
        <f>30300-5</f>
        <v>30295</v>
      </c>
      <c r="HN53" s="1194">
        <f>6083</f>
        <v>6083</v>
      </c>
      <c r="HO53" s="1194"/>
      <c r="HP53" s="1087">
        <f t="shared" si="79"/>
        <v>64307</v>
      </c>
      <c r="HR53" s="1089" t="s">
        <v>858</v>
      </c>
      <c r="HS53" s="1088"/>
      <c r="HT53" s="1193"/>
      <c r="HU53" s="1194">
        <f>18600-39</f>
        <v>18561</v>
      </c>
      <c r="HV53" s="1194">
        <f>22950-5</f>
        <v>22945</v>
      </c>
      <c r="HW53" s="1194">
        <f>9041</f>
        <v>9041</v>
      </c>
      <c r="HX53" s="1194">
        <v>621</v>
      </c>
      <c r="HY53" s="1087">
        <f t="shared" si="64"/>
        <v>51168</v>
      </c>
      <c r="IA53" s="1089" t="s">
        <v>858</v>
      </c>
      <c r="IB53" s="1088"/>
      <c r="IC53" s="1193"/>
      <c r="ID53" s="1194">
        <f>18600-39</f>
        <v>18561</v>
      </c>
      <c r="IE53" s="1194">
        <f>22950-5</f>
        <v>22945</v>
      </c>
      <c r="IF53" s="1194">
        <f>9041</f>
        <v>9041</v>
      </c>
      <c r="IG53" s="1194">
        <v>621</v>
      </c>
      <c r="IH53" s="1087">
        <f t="shared" si="65"/>
        <v>51168</v>
      </c>
      <c r="IJ53" s="1089" t="s">
        <v>858</v>
      </c>
      <c r="IK53" s="1088"/>
      <c r="IL53" s="1193"/>
      <c r="IM53" s="1194">
        <f>18600-41</f>
        <v>18559</v>
      </c>
      <c r="IN53" s="1194">
        <f>22950-5</f>
        <v>22945</v>
      </c>
      <c r="IO53" s="1194">
        <f>9041-5</f>
        <v>9036</v>
      </c>
      <c r="IP53" s="1194">
        <v>621</v>
      </c>
      <c r="IQ53" s="1087">
        <f t="shared" si="80"/>
        <v>51161</v>
      </c>
    </row>
    <row r="54" spans="2:251" ht="15.5" hidden="1" x14ac:dyDescent="0.35">
      <c r="B54" s="1058" t="s">
        <v>920</v>
      </c>
      <c r="C54" s="1085"/>
      <c r="D54" s="1061"/>
      <c r="E54" s="1060">
        <v>14890</v>
      </c>
      <c r="F54" s="1060">
        <f>9700+1054</f>
        <v>10754</v>
      </c>
      <c r="G54" s="1060">
        <v>1826</v>
      </c>
      <c r="H54" s="1060"/>
      <c r="I54" s="1059">
        <f t="shared" si="66"/>
        <v>27470</v>
      </c>
      <c r="K54" s="1058" t="s">
        <v>920</v>
      </c>
      <c r="L54" s="1085"/>
      <c r="M54" s="1061"/>
      <c r="N54" s="1060">
        <v>14890</v>
      </c>
      <c r="O54" s="1060">
        <f>9700+1054</f>
        <v>10754</v>
      </c>
      <c r="P54" s="1060">
        <v>1826</v>
      </c>
      <c r="Q54" s="1060"/>
      <c r="R54" s="1059">
        <f t="shared" si="67"/>
        <v>27470</v>
      </c>
      <c r="T54" s="1058" t="s">
        <v>920</v>
      </c>
      <c r="U54" s="1085"/>
      <c r="V54" s="1061"/>
      <c r="W54" s="1060">
        <v>14890</v>
      </c>
      <c r="X54" s="1060">
        <f>9700+1054</f>
        <v>10754</v>
      </c>
      <c r="Y54" s="1060">
        <v>1826</v>
      </c>
      <c r="Z54" s="1060"/>
      <c r="AA54" s="1059">
        <f t="shared" si="68"/>
        <v>27470</v>
      </c>
      <c r="AC54" s="1058" t="s">
        <v>863</v>
      </c>
      <c r="AD54" s="1085"/>
      <c r="AE54" s="1061"/>
      <c r="AF54" s="1060">
        <v>20200</v>
      </c>
      <c r="AG54" s="1060">
        <v>9300</v>
      </c>
      <c r="AH54" s="1093">
        <v>4349</v>
      </c>
      <c r="AI54" s="1093"/>
      <c r="AJ54" s="1059">
        <f t="shared" si="69"/>
        <v>33849</v>
      </c>
      <c r="AL54" s="1058" t="s">
        <v>863</v>
      </c>
      <c r="AM54" s="1085"/>
      <c r="AN54" s="1061"/>
      <c r="AO54" s="1060">
        <v>20200</v>
      </c>
      <c r="AP54" s="1060">
        <v>9300</v>
      </c>
      <c r="AQ54" s="1093">
        <v>4349</v>
      </c>
      <c r="AR54" s="1093"/>
      <c r="AS54" s="1059">
        <f t="shared" si="70"/>
        <v>33849</v>
      </c>
      <c r="AU54" s="1058" t="s">
        <v>863</v>
      </c>
      <c r="AV54" s="1085"/>
      <c r="AW54" s="1061"/>
      <c r="AX54" s="1060">
        <v>20200</v>
      </c>
      <c r="AY54" s="1060">
        <v>9300</v>
      </c>
      <c r="AZ54" s="1093">
        <v>4349</v>
      </c>
      <c r="BA54" s="1093"/>
      <c r="BB54" s="1059">
        <f t="shared" si="71"/>
        <v>33849</v>
      </c>
      <c r="BD54" s="1058" t="s">
        <v>862</v>
      </c>
      <c r="BE54" s="1085"/>
      <c r="BF54" s="1061"/>
      <c r="BG54" s="1060">
        <v>17025</v>
      </c>
      <c r="BH54" s="1060">
        <v>11200</v>
      </c>
      <c r="BI54" s="1060">
        <v>4931</v>
      </c>
      <c r="BJ54" s="1060"/>
      <c r="BK54" s="1059">
        <f t="shared" si="53"/>
        <v>33156</v>
      </c>
      <c r="BL54" s="1058" t="s">
        <v>862</v>
      </c>
      <c r="BM54" s="1085"/>
      <c r="BN54" s="1061"/>
      <c r="BO54" s="1060">
        <v>21025</v>
      </c>
      <c r="BP54" s="1060">
        <v>11200</v>
      </c>
      <c r="BQ54" s="1060">
        <v>4931</v>
      </c>
      <c r="BR54" s="1060"/>
      <c r="BS54" s="1059">
        <f t="shared" si="72"/>
        <v>37156</v>
      </c>
      <c r="BU54" s="1058" t="s">
        <v>861</v>
      </c>
      <c r="BV54" s="1085"/>
      <c r="BW54" s="1061"/>
      <c r="BX54" s="1060">
        <v>3000</v>
      </c>
      <c r="BY54" s="1060">
        <v>18000</v>
      </c>
      <c r="BZ54" s="1060">
        <v>2631</v>
      </c>
      <c r="CA54" s="1060"/>
      <c r="CB54" s="1059">
        <f t="shared" si="54"/>
        <v>23631</v>
      </c>
      <c r="CD54" s="1058" t="s">
        <v>861</v>
      </c>
      <c r="CE54" s="1085"/>
      <c r="CF54" s="1061"/>
      <c r="CG54" s="1060">
        <v>9600</v>
      </c>
      <c r="CH54" s="1060">
        <v>18000</v>
      </c>
      <c r="CI54" s="1060">
        <v>2631</v>
      </c>
      <c r="CJ54" s="1060"/>
      <c r="CK54" s="1059">
        <f t="shared" si="55"/>
        <v>30231</v>
      </c>
      <c r="CM54" s="1091" t="s">
        <v>861</v>
      </c>
      <c r="CN54" s="1088"/>
      <c r="CO54" s="1193"/>
      <c r="CP54" s="1194">
        <v>14800</v>
      </c>
      <c r="CQ54" s="1194">
        <v>18000</v>
      </c>
      <c r="CR54" s="1194">
        <v>2631</v>
      </c>
      <c r="CS54" s="1194"/>
      <c r="CT54" s="1087">
        <f t="shared" si="56"/>
        <v>35431</v>
      </c>
      <c r="CV54" s="1090" t="s">
        <v>861</v>
      </c>
      <c r="CW54" s="1088"/>
      <c r="CX54" s="1193"/>
      <c r="CY54" s="1194">
        <v>14800</v>
      </c>
      <c r="CZ54" s="1194">
        <f>18000-72</f>
        <v>17928</v>
      </c>
      <c r="DA54" s="1194">
        <v>2631</v>
      </c>
      <c r="DB54" s="1194"/>
      <c r="DC54" s="1087">
        <f t="shared" si="73"/>
        <v>35359</v>
      </c>
      <c r="DE54" s="1089" t="s">
        <v>861</v>
      </c>
      <c r="DF54" s="1088"/>
      <c r="DG54" s="1193"/>
      <c r="DH54" s="1194">
        <f>14800</f>
        <v>14800</v>
      </c>
      <c r="DI54" s="1194">
        <f>18000-72</f>
        <v>17928</v>
      </c>
      <c r="DJ54" s="1194">
        <f>2631</f>
        <v>2631</v>
      </c>
      <c r="DK54" s="1194"/>
      <c r="DL54" s="1087">
        <f t="shared" si="74"/>
        <v>35359</v>
      </c>
      <c r="DN54" s="1089" t="s">
        <v>861</v>
      </c>
      <c r="DO54" s="1088"/>
      <c r="DP54" s="1193"/>
      <c r="DQ54" s="1194">
        <f>18600</f>
        <v>18600</v>
      </c>
      <c r="DR54" s="1194">
        <f>18000-72</f>
        <v>17928</v>
      </c>
      <c r="DS54" s="1194">
        <f>2631</f>
        <v>2631</v>
      </c>
      <c r="DT54" s="1194"/>
      <c r="DU54" s="1087">
        <f t="shared" si="75"/>
        <v>39159</v>
      </c>
      <c r="DW54" s="1089" t="s">
        <v>860</v>
      </c>
      <c r="DX54" s="1088"/>
      <c r="DY54" s="1193"/>
      <c r="DZ54" s="1194">
        <f>9200</f>
        <v>9200</v>
      </c>
      <c r="EA54" s="1194">
        <f>11700</f>
        <v>11700</v>
      </c>
      <c r="EB54" s="1194">
        <f>6513</f>
        <v>6513</v>
      </c>
      <c r="EC54" s="1194"/>
      <c r="ED54" s="1087">
        <f t="shared" si="57"/>
        <v>27413</v>
      </c>
      <c r="EF54" s="1089" t="s">
        <v>860</v>
      </c>
      <c r="EG54" s="1088"/>
      <c r="EH54" s="1193"/>
      <c r="EI54" s="1194">
        <f>19800</f>
        <v>19800</v>
      </c>
      <c r="EJ54" s="1194">
        <f>11700-74</f>
        <v>11626</v>
      </c>
      <c r="EK54" s="1194">
        <f>6513</f>
        <v>6513</v>
      </c>
      <c r="EL54" s="1194"/>
      <c r="EM54" s="1087">
        <f t="shared" si="76"/>
        <v>37939</v>
      </c>
      <c r="EO54" s="1089" t="s">
        <v>859</v>
      </c>
      <c r="EP54" s="1088"/>
      <c r="EQ54" s="1193"/>
      <c r="ER54" s="1194"/>
      <c r="ES54" s="1194">
        <f>30300-42</f>
        <v>30258</v>
      </c>
      <c r="ET54" s="1194">
        <f>6083</f>
        <v>6083</v>
      </c>
      <c r="EU54" s="1194"/>
      <c r="EV54" s="1087">
        <f t="shared" si="58"/>
        <v>36341</v>
      </c>
      <c r="EX54" s="1089" t="s">
        <v>859</v>
      </c>
      <c r="EY54" s="1088"/>
      <c r="EZ54" s="1193"/>
      <c r="FA54" s="1194">
        <f>9897</f>
        <v>9897</v>
      </c>
      <c r="FB54" s="1194">
        <f>30300-42</f>
        <v>30258</v>
      </c>
      <c r="FC54" s="1194">
        <f>6083</f>
        <v>6083</v>
      </c>
      <c r="FD54" s="1194"/>
      <c r="FE54" s="1087">
        <f t="shared" si="59"/>
        <v>46238</v>
      </c>
      <c r="FG54" s="1089" t="s">
        <v>859</v>
      </c>
      <c r="FH54" s="1088"/>
      <c r="FI54" s="1193"/>
      <c r="FJ54" s="1194">
        <f>16897</f>
        <v>16897</v>
      </c>
      <c r="FK54" s="1194">
        <f>30300-42</f>
        <v>30258</v>
      </c>
      <c r="FL54" s="1194">
        <f>6083</f>
        <v>6083</v>
      </c>
      <c r="FM54" s="1194"/>
      <c r="FN54" s="1087">
        <f t="shared" si="60"/>
        <v>53238</v>
      </c>
      <c r="FP54" s="1089" t="s">
        <v>859</v>
      </c>
      <c r="FQ54" s="1088"/>
      <c r="FR54" s="1193"/>
      <c r="FS54" s="1194">
        <f>24196-30</f>
        <v>24166</v>
      </c>
      <c r="FT54" s="1194">
        <f>30300-6</f>
        <v>30294</v>
      </c>
      <c r="FU54" s="1194">
        <f>6083</f>
        <v>6083</v>
      </c>
      <c r="FV54" s="1194"/>
      <c r="FW54" s="1087">
        <f t="shared" si="77"/>
        <v>60543</v>
      </c>
      <c r="FY54" s="1089" t="s">
        <v>858</v>
      </c>
      <c r="FZ54" s="1088"/>
      <c r="GA54" s="1193"/>
      <c r="GB54" s="992">
        <f>5800-19</f>
        <v>5781</v>
      </c>
      <c r="GC54" s="1194">
        <f>22950-5</f>
        <v>22945</v>
      </c>
      <c r="GD54" s="1194">
        <f>9041</f>
        <v>9041</v>
      </c>
      <c r="GE54" s="1194">
        <v>621</v>
      </c>
      <c r="GF54" s="1087">
        <f t="shared" si="61"/>
        <v>38388</v>
      </c>
      <c r="GH54" s="1089" t="s">
        <v>858</v>
      </c>
      <c r="GI54" s="1088"/>
      <c r="GJ54" s="1193"/>
      <c r="GK54" s="992">
        <f>10200-18</f>
        <v>10182</v>
      </c>
      <c r="GL54" s="1194">
        <f>22950-5</f>
        <v>22945</v>
      </c>
      <c r="GM54" s="1194">
        <f>9041</f>
        <v>9041</v>
      </c>
      <c r="GN54" s="1194">
        <v>621</v>
      </c>
      <c r="GO54" s="1087">
        <f t="shared" si="62"/>
        <v>42789</v>
      </c>
      <c r="GQ54" s="1089" t="s">
        <v>858</v>
      </c>
      <c r="GR54" s="1088"/>
      <c r="GS54" s="1193"/>
      <c r="GT54" s="1194">
        <f>11700-18</f>
        <v>11682</v>
      </c>
      <c r="GU54" s="1194">
        <f>22950-5</f>
        <v>22945</v>
      </c>
      <c r="GV54" s="1194">
        <f>9041</f>
        <v>9041</v>
      </c>
      <c r="GW54" s="1194">
        <v>621</v>
      </c>
      <c r="GX54" s="1087">
        <f t="shared" si="63"/>
        <v>44289</v>
      </c>
      <c r="GZ54" s="1089" t="s">
        <v>858</v>
      </c>
      <c r="HA54" s="1088"/>
      <c r="HB54" s="1193"/>
      <c r="HC54" s="1194">
        <f>18600-33</f>
        <v>18567</v>
      </c>
      <c r="HD54" s="1194">
        <f>22950-5</f>
        <v>22945</v>
      </c>
      <c r="HE54" s="1194">
        <f>9041</f>
        <v>9041</v>
      </c>
      <c r="HF54" s="1194">
        <v>621</v>
      </c>
      <c r="HG54" s="1087">
        <f t="shared" si="78"/>
        <v>51174</v>
      </c>
      <c r="HI54" s="1089" t="s">
        <v>858</v>
      </c>
      <c r="HJ54" s="1088"/>
      <c r="HK54" s="1193"/>
      <c r="HL54" s="1194">
        <f>18600-33-6</f>
        <v>18561</v>
      </c>
      <c r="HM54" s="1194">
        <f>22950-5</f>
        <v>22945</v>
      </c>
      <c r="HN54" s="1194">
        <f>9041</f>
        <v>9041</v>
      </c>
      <c r="HO54" s="1194">
        <v>621</v>
      </c>
      <c r="HP54" s="1087">
        <f t="shared" si="79"/>
        <v>51168</v>
      </c>
      <c r="HR54" s="1089" t="s">
        <v>466</v>
      </c>
      <c r="HS54" s="1088"/>
      <c r="HT54" s="1193"/>
      <c r="HU54" s="1194">
        <f>12050-48</f>
        <v>12002</v>
      </c>
      <c r="HV54" s="1194">
        <f>19150-3</f>
        <v>19147</v>
      </c>
      <c r="HW54" s="1194">
        <f>7293-65</f>
        <v>7228</v>
      </c>
      <c r="HX54" s="1193">
        <f>1000</f>
        <v>1000</v>
      </c>
      <c r="HY54" s="1087">
        <f t="shared" si="64"/>
        <v>39377</v>
      </c>
      <c r="IA54" s="1089" t="s">
        <v>466</v>
      </c>
      <c r="IB54" s="1088"/>
      <c r="IC54" s="1193"/>
      <c r="ID54" s="1194">
        <f>17450-55</f>
        <v>17395</v>
      </c>
      <c r="IE54" s="1194">
        <f>19150-3</f>
        <v>19147</v>
      </c>
      <c r="IF54" s="1194">
        <f>7293-65</f>
        <v>7228</v>
      </c>
      <c r="IG54" s="1193">
        <f>1000</f>
        <v>1000</v>
      </c>
      <c r="IH54" s="1087">
        <f t="shared" si="65"/>
        <v>44770</v>
      </c>
      <c r="IJ54" s="1089" t="s">
        <v>466</v>
      </c>
      <c r="IK54" s="1088"/>
      <c r="IL54" s="1193"/>
      <c r="IM54" s="1194">
        <f>24650-59</f>
        <v>24591</v>
      </c>
      <c r="IN54" s="1194">
        <f>19150-3</f>
        <v>19147</v>
      </c>
      <c r="IO54" s="1194">
        <f>7293-65-3</f>
        <v>7225</v>
      </c>
      <c r="IP54" s="1193">
        <f>1000</f>
        <v>1000</v>
      </c>
      <c r="IQ54" s="1087">
        <f t="shared" si="80"/>
        <v>51963</v>
      </c>
    </row>
    <row r="55" spans="2:251" ht="15.5" hidden="1" x14ac:dyDescent="0.35">
      <c r="B55" s="1058" t="s">
        <v>863</v>
      </c>
      <c r="C55" s="1085"/>
      <c r="D55" s="1061"/>
      <c r="E55" s="1060">
        <v>5000</v>
      </c>
      <c r="F55" s="1060">
        <v>9300</v>
      </c>
      <c r="G55" s="1093">
        <v>4349</v>
      </c>
      <c r="H55" s="1093"/>
      <c r="I55" s="1059">
        <f t="shared" si="66"/>
        <v>18649</v>
      </c>
      <c r="K55" s="1058" t="s">
        <v>863</v>
      </c>
      <c r="L55" s="1085"/>
      <c r="M55" s="1061"/>
      <c r="N55" s="1060">
        <v>10000</v>
      </c>
      <c r="O55" s="1060">
        <v>9300</v>
      </c>
      <c r="P55" s="1093">
        <v>4349</v>
      </c>
      <c r="Q55" s="1093"/>
      <c r="R55" s="1059">
        <f t="shared" si="67"/>
        <v>23649</v>
      </c>
      <c r="T55" s="1058" t="s">
        <v>863</v>
      </c>
      <c r="U55" s="1085"/>
      <c r="V55" s="1061"/>
      <c r="W55" s="1060">
        <v>15000</v>
      </c>
      <c r="X55" s="1060">
        <v>9300</v>
      </c>
      <c r="Y55" s="1093">
        <v>4349</v>
      </c>
      <c r="Z55" s="1093"/>
      <c r="AA55" s="1059">
        <f t="shared" si="68"/>
        <v>28649</v>
      </c>
      <c r="AC55" s="1058" t="s">
        <v>862</v>
      </c>
      <c r="AD55" s="1085"/>
      <c r="AE55" s="1061"/>
      <c r="AF55" s="1060"/>
      <c r="AG55" s="1060">
        <v>11200</v>
      </c>
      <c r="AH55" s="1060">
        <v>4931</v>
      </c>
      <c r="AI55" s="1060"/>
      <c r="AJ55" s="1059">
        <f t="shared" si="69"/>
        <v>16131</v>
      </c>
      <c r="AL55" s="1058" t="s">
        <v>862</v>
      </c>
      <c r="AM55" s="1085"/>
      <c r="AN55" s="1061"/>
      <c r="AO55" s="1060">
        <v>6000</v>
      </c>
      <c r="AP55" s="1060">
        <v>11200</v>
      </c>
      <c r="AQ55" s="1060">
        <v>4931</v>
      </c>
      <c r="AR55" s="1060"/>
      <c r="AS55" s="1059">
        <f t="shared" si="70"/>
        <v>22131</v>
      </c>
      <c r="AU55" s="1058" t="s">
        <v>862</v>
      </c>
      <c r="AV55" s="1085"/>
      <c r="AW55" s="1061"/>
      <c r="AX55" s="1060">
        <v>11025</v>
      </c>
      <c r="AY55" s="1060">
        <v>11200</v>
      </c>
      <c r="AZ55" s="1060">
        <v>4931</v>
      </c>
      <c r="BA55" s="1060"/>
      <c r="BB55" s="1059">
        <f t="shared" si="71"/>
        <v>27156</v>
      </c>
      <c r="BD55" s="1058" t="s">
        <v>861</v>
      </c>
      <c r="BE55" s="1085"/>
      <c r="BF55" s="1061"/>
      <c r="BG55" s="1060"/>
      <c r="BH55" s="1060">
        <v>18000</v>
      </c>
      <c r="BI55" s="1060">
        <v>2631</v>
      </c>
      <c r="BJ55" s="1060"/>
      <c r="BK55" s="1059">
        <f t="shared" si="53"/>
        <v>20631</v>
      </c>
      <c r="BL55" s="1058" t="s">
        <v>861</v>
      </c>
      <c r="BM55" s="1085"/>
      <c r="BN55" s="1061"/>
      <c r="BO55" s="1060"/>
      <c r="BP55" s="1060">
        <v>18000</v>
      </c>
      <c r="BQ55" s="1060">
        <v>2631</v>
      </c>
      <c r="BR55" s="1060"/>
      <c r="BS55" s="1059">
        <f t="shared" si="72"/>
        <v>20631</v>
      </c>
      <c r="BU55" s="1058" t="s">
        <v>860</v>
      </c>
      <c r="BV55" s="1085"/>
      <c r="BW55" s="1061"/>
      <c r="BX55" s="1060"/>
      <c r="BY55" s="1060">
        <v>11700</v>
      </c>
      <c r="BZ55" s="1060">
        <v>6513</v>
      </c>
      <c r="CA55" s="1060"/>
      <c r="CB55" s="1059">
        <f t="shared" si="54"/>
        <v>18213</v>
      </c>
      <c r="CD55" s="1058" t="s">
        <v>860</v>
      </c>
      <c r="CE55" s="1085"/>
      <c r="CF55" s="1061"/>
      <c r="CG55" s="1060"/>
      <c r="CH55" s="1060">
        <v>11700</v>
      </c>
      <c r="CI55" s="1060">
        <v>6513</v>
      </c>
      <c r="CJ55" s="1060"/>
      <c r="CK55" s="1059">
        <f t="shared" si="55"/>
        <v>18213</v>
      </c>
      <c r="CM55" s="1091" t="s">
        <v>860</v>
      </c>
      <c r="CN55" s="1088"/>
      <c r="CO55" s="1193"/>
      <c r="CP55" s="1194"/>
      <c r="CQ55" s="1194">
        <v>11700</v>
      </c>
      <c r="CR55" s="1194">
        <v>6513</v>
      </c>
      <c r="CS55" s="1194"/>
      <c r="CT55" s="1087">
        <f t="shared" si="56"/>
        <v>18213</v>
      </c>
      <c r="CV55" s="1090" t="s">
        <v>860</v>
      </c>
      <c r="CW55" s="1088"/>
      <c r="CX55" s="1193"/>
      <c r="CY55" s="1194"/>
      <c r="CZ55" s="1194">
        <f>11700-2-4</f>
        <v>11694</v>
      </c>
      <c r="DA55" s="1194">
        <v>6513</v>
      </c>
      <c r="DB55" s="1194"/>
      <c r="DC55" s="1087">
        <f t="shared" si="73"/>
        <v>18207</v>
      </c>
      <c r="DE55" s="1089" t="s">
        <v>860</v>
      </c>
      <c r="DF55" s="1088"/>
      <c r="DG55" s="1193"/>
      <c r="DH55" s="1194"/>
      <c r="DI55" s="1194">
        <f>11700-6</f>
        <v>11694</v>
      </c>
      <c r="DJ55" s="1194">
        <f>6513</f>
        <v>6513</v>
      </c>
      <c r="DK55" s="1194"/>
      <c r="DL55" s="1087">
        <f t="shared" si="74"/>
        <v>18207</v>
      </c>
      <c r="DN55" s="1089" t="s">
        <v>860</v>
      </c>
      <c r="DO55" s="1088"/>
      <c r="DP55" s="1193"/>
      <c r="DQ55" s="1194"/>
      <c r="DR55" s="1194">
        <f>11700-5</f>
        <v>11695</v>
      </c>
      <c r="DS55" s="1194">
        <f>6513</f>
        <v>6513</v>
      </c>
      <c r="DT55" s="1194"/>
      <c r="DU55" s="1087">
        <f t="shared" si="75"/>
        <v>18208</v>
      </c>
      <c r="DW55" s="1089" t="s">
        <v>859</v>
      </c>
      <c r="DX55" s="1088"/>
      <c r="DY55" s="1193"/>
      <c r="DZ55" s="992"/>
      <c r="EA55" s="1194">
        <f>30300</f>
        <v>30300</v>
      </c>
      <c r="EB55" s="1194">
        <f>6083</f>
        <v>6083</v>
      </c>
      <c r="EC55" s="1194"/>
      <c r="ED55" s="1087">
        <f t="shared" si="57"/>
        <v>36383</v>
      </c>
      <c r="EF55" s="1089" t="s">
        <v>859</v>
      </c>
      <c r="EG55" s="1088"/>
      <c r="EH55" s="1193"/>
      <c r="EI55" s="1194"/>
      <c r="EJ55" s="1194">
        <f>30300</f>
        <v>30300</v>
      </c>
      <c r="EK55" s="1194">
        <f>6083</f>
        <v>6083</v>
      </c>
      <c r="EL55" s="1194"/>
      <c r="EM55" s="1087">
        <f t="shared" si="76"/>
        <v>36383</v>
      </c>
      <c r="EO55" s="1089" t="s">
        <v>858</v>
      </c>
      <c r="EP55" s="1088"/>
      <c r="EQ55" s="1193"/>
      <c r="ER55" s="992"/>
      <c r="ES55" s="1194">
        <f>24500</f>
        <v>24500</v>
      </c>
      <c r="ET55" s="1194">
        <f>9041</f>
        <v>9041</v>
      </c>
      <c r="EU55" s="1194">
        <v>621</v>
      </c>
      <c r="EV55" s="1087">
        <f t="shared" si="58"/>
        <v>34162</v>
      </c>
      <c r="EX55" s="1089" t="s">
        <v>858</v>
      </c>
      <c r="EY55" s="1088"/>
      <c r="EZ55" s="1193"/>
      <c r="FA55" s="992"/>
      <c r="FB55" s="1194">
        <f>22950</f>
        <v>22950</v>
      </c>
      <c r="FC55" s="1194">
        <f>9041</f>
        <v>9041</v>
      </c>
      <c r="FD55" s="1194">
        <v>621</v>
      </c>
      <c r="FE55" s="1087">
        <f t="shared" si="59"/>
        <v>32612</v>
      </c>
      <c r="FG55" s="1089" t="s">
        <v>858</v>
      </c>
      <c r="FH55" s="1088"/>
      <c r="FI55" s="1193"/>
      <c r="FJ55" s="992"/>
      <c r="FK55" s="1194">
        <f>22950</f>
        <v>22950</v>
      </c>
      <c r="FL55" s="1194">
        <f>9041</f>
        <v>9041</v>
      </c>
      <c r="FM55" s="1194">
        <v>621</v>
      </c>
      <c r="FN55" s="1087">
        <f t="shared" si="60"/>
        <v>32612</v>
      </c>
      <c r="FP55" s="1089" t="s">
        <v>858</v>
      </c>
      <c r="FQ55" s="1088"/>
      <c r="FR55" s="1193"/>
      <c r="FS55" s="992"/>
      <c r="FT55" s="1194">
        <f>22950-8</f>
        <v>22942</v>
      </c>
      <c r="FU55" s="1194">
        <f>9041</f>
        <v>9041</v>
      </c>
      <c r="FV55" s="1194">
        <v>621</v>
      </c>
      <c r="FW55" s="1087">
        <f t="shared" si="77"/>
        <v>32604</v>
      </c>
      <c r="FY55" s="1089" t="s">
        <v>466</v>
      </c>
      <c r="FZ55" s="1088"/>
      <c r="GA55" s="1193"/>
      <c r="GB55" s="1194"/>
      <c r="GC55" s="1194">
        <f>19150-3</f>
        <v>19147</v>
      </c>
      <c r="GD55" s="1194">
        <f>7293-65</f>
        <v>7228</v>
      </c>
      <c r="GE55" s="1193">
        <f>1000</f>
        <v>1000</v>
      </c>
      <c r="GF55" s="1087">
        <f t="shared" si="61"/>
        <v>27375</v>
      </c>
      <c r="GH55" s="1089" t="s">
        <v>466</v>
      </c>
      <c r="GI55" s="1088"/>
      <c r="GJ55" s="1193"/>
      <c r="GK55" s="1194"/>
      <c r="GL55" s="1194">
        <f>19150-4</f>
        <v>19146</v>
      </c>
      <c r="GM55" s="1194">
        <f>7293-65</f>
        <v>7228</v>
      </c>
      <c r="GN55" s="1193">
        <f>1000</f>
        <v>1000</v>
      </c>
      <c r="GO55" s="1087">
        <f t="shared" si="62"/>
        <v>27374</v>
      </c>
      <c r="GQ55" s="1089" t="s">
        <v>466</v>
      </c>
      <c r="GR55" s="1088"/>
      <c r="GS55" s="1193"/>
      <c r="GT55" s="1194"/>
      <c r="GU55" s="1194">
        <f>19150-9</f>
        <v>19141</v>
      </c>
      <c r="GV55" s="1194">
        <f>7293-65</f>
        <v>7228</v>
      </c>
      <c r="GW55" s="1193">
        <f>1000</f>
        <v>1000</v>
      </c>
      <c r="GX55" s="1087">
        <f t="shared" si="63"/>
        <v>27369</v>
      </c>
      <c r="GZ55" s="1089" t="s">
        <v>466</v>
      </c>
      <c r="HA55" s="1088"/>
      <c r="HB55" s="1193"/>
      <c r="HC55" s="1194"/>
      <c r="HD55" s="1194">
        <f>19150-3</f>
        <v>19147</v>
      </c>
      <c r="HE55" s="1194">
        <f>7293-65</f>
        <v>7228</v>
      </c>
      <c r="HF55" s="1193">
        <f>1000</f>
        <v>1000</v>
      </c>
      <c r="HG55" s="1087">
        <f t="shared" si="78"/>
        <v>27375</v>
      </c>
      <c r="HI55" s="1089" t="s">
        <v>466</v>
      </c>
      <c r="HJ55" s="1088"/>
      <c r="HK55" s="1193"/>
      <c r="HL55" s="1194">
        <f>5600</f>
        <v>5600</v>
      </c>
      <c r="HM55" s="1194">
        <f>19150-3</f>
        <v>19147</v>
      </c>
      <c r="HN55" s="1194">
        <f>7293-65</f>
        <v>7228</v>
      </c>
      <c r="HO55" s="1193">
        <f>1000</f>
        <v>1000</v>
      </c>
      <c r="HP55" s="1087">
        <f t="shared" si="79"/>
        <v>32975</v>
      </c>
      <c r="HR55" s="1089" t="s">
        <v>465</v>
      </c>
      <c r="HS55" s="1092"/>
      <c r="HT55" s="1194"/>
      <c r="HU55" s="1194"/>
      <c r="HV55" s="1194">
        <f>10200-5</f>
        <v>10195</v>
      </c>
      <c r="HW55" s="1194">
        <f>9828-15</f>
        <v>9813</v>
      </c>
      <c r="HX55" s="1194">
        <f>1796</f>
        <v>1796</v>
      </c>
      <c r="HY55" s="1087">
        <f t="shared" si="64"/>
        <v>21804</v>
      </c>
      <c r="IA55" s="1089" t="s">
        <v>465</v>
      </c>
      <c r="IB55" s="1092"/>
      <c r="IC55" s="1194"/>
      <c r="ID55" s="1194"/>
      <c r="IE55" s="1194">
        <f>10200-5</f>
        <v>10195</v>
      </c>
      <c r="IF55" s="1194">
        <f>9828-15</f>
        <v>9813</v>
      </c>
      <c r="IG55" s="1194">
        <f>1796</f>
        <v>1796</v>
      </c>
      <c r="IH55" s="1087">
        <f t="shared" si="65"/>
        <v>21804</v>
      </c>
      <c r="IJ55" s="1089" t="s">
        <v>465</v>
      </c>
      <c r="IK55" s="1092"/>
      <c r="IL55" s="1194"/>
      <c r="IM55" s="1194"/>
      <c r="IN55" s="1194">
        <f>10200-5</f>
        <v>10195</v>
      </c>
      <c r="IO55" s="1194">
        <f>9828-15-5</f>
        <v>9808</v>
      </c>
      <c r="IP55" s="1194">
        <f>1796</f>
        <v>1796</v>
      </c>
      <c r="IQ55" s="1087">
        <f t="shared" si="80"/>
        <v>21799</v>
      </c>
    </row>
    <row r="56" spans="2:251" ht="15.5" hidden="1" x14ac:dyDescent="0.35">
      <c r="B56" s="1058" t="s">
        <v>862</v>
      </c>
      <c r="C56" s="1085"/>
      <c r="D56" s="1061"/>
      <c r="E56" s="1060"/>
      <c r="F56" s="1060">
        <v>11200</v>
      </c>
      <c r="G56" s="1060">
        <v>4931</v>
      </c>
      <c r="H56" s="1060"/>
      <c r="I56" s="1059">
        <f t="shared" si="66"/>
        <v>16131</v>
      </c>
      <c r="K56" s="1058" t="s">
        <v>862</v>
      </c>
      <c r="L56" s="1085"/>
      <c r="M56" s="1061"/>
      <c r="N56" s="1060"/>
      <c r="O56" s="1060">
        <v>11200</v>
      </c>
      <c r="P56" s="1060">
        <v>4931</v>
      </c>
      <c r="Q56" s="1060"/>
      <c r="R56" s="1059">
        <f t="shared" si="67"/>
        <v>16131</v>
      </c>
      <c r="T56" s="1058" t="s">
        <v>862</v>
      </c>
      <c r="U56" s="1085"/>
      <c r="V56" s="1061"/>
      <c r="W56" s="1060"/>
      <c r="X56" s="1060">
        <v>11200</v>
      </c>
      <c r="Y56" s="1060">
        <v>4931</v>
      </c>
      <c r="Z56" s="1060"/>
      <c r="AA56" s="1059">
        <f t="shared" si="68"/>
        <v>16131</v>
      </c>
      <c r="AC56" s="1058" t="s">
        <v>861</v>
      </c>
      <c r="AD56" s="1085"/>
      <c r="AE56" s="1061"/>
      <c r="AF56" s="1060"/>
      <c r="AG56" s="1060">
        <v>14000</v>
      </c>
      <c r="AH56" s="1060">
        <v>2631</v>
      </c>
      <c r="AI56" s="1060"/>
      <c r="AJ56" s="1059">
        <f t="shared" si="69"/>
        <v>16631</v>
      </c>
      <c r="AL56" s="1058" t="s">
        <v>861</v>
      </c>
      <c r="AM56" s="1085"/>
      <c r="AN56" s="1061"/>
      <c r="AO56" s="1060"/>
      <c r="AP56" s="1060">
        <v>16000</v>
      </c>
      <c r="AQ56" s="1060">
        <v>2631</v>
      </c>
      <c r="AR56" s="1060"/>
      <c r="AS56" s="1059">
        <f t="shared" si="70"/>
        <v>18631</v>
      </c>
      <c r="AU56" s="1058" t="s">
        <v>861</v>
      </c>
      <c r="AV56" s="1085"/>
      <c r="AW56" s="1061"/>
      <c r="AX56" s="1060"/>
      <c r="AY56" s="1060">
        <v>18000</v>
      </c>
      <c r="AZ56" s="1060">
        <v>2631</v>
      </c>
      <c r="BA56" s="1060"/>
      <c r="BB56" s="1059">
        <f t="shared" si="71"/>
        <v>20631</v>
      </c>
      <c r="BD56" s="1058" t="s">
        <v>860</v>
      </c>
      <c r="BE56" s="1085"/>
      <c r="BF56" s="1061"/>
      <c r="BG56" s="1060"/>
      <c r="BH56" s="1060">
        <v>5700</v>
      </c>
      <c r="BI56" s="1060">
        <v>6513</v>
      </c>
      <c r="BJ56" s="1060"/>
      <c r="BK56" s="1059">
        <f t="shared" si="53"/>
        <v>12213</v>
      </c>
      <c r="BL56" s="1058" t="s">
        <v>860</v>
      </c>
      <c r="BM56" s="1085"/>
      <c r="BN56" s="1061"/>
      <c r="BO56" s="1060"/>
      <c r="BP56" s="1060">
        <v>11700</v>
      </c>
      <c r="BQ56" s="1060">
        <v>6513</v>
      </c>
      <c r="BR56" s="1060"/>
      <c r="BS56" s="1059">
        <f t="shared" si="72"/>
        <v>18213</v>
      </c>
      <c r="BU56" s="1058" t="s">
        <v>859</v>
      </c>
      <c r="BV56" s="1085"/>
      <c r="BW56" s="1061"/>
      <c r="BX56" s="103"/>
      <c r="BY56" s="1060">
        <v>1600</v>
      </c>
      <c r="BZ56" s="1060">
        <v>6083</v>
      </c>
      <c r="CA56" s="1060"/>
      <c r="CB56" s="1059">
        <f t="shared" si="54"/>
        <v>7683</v>
      </c>
      <c r="CD56" s="1058" t="s">
        <v>859</v>
      </c>
      <c r="CE56" s="1085"/>
      <c r="CF56" s="1061"/>
      <c r="CG56" s="103"/>
      <c r="CH56" s="1060">
        <v>6700</v>
      </c>
      <c r="CI56" s="1060">
        <v>6083</v>
      </c>
      <c r="CJ56" s="1060"/>
      <c r="CK56" s="1059">
        <f t="shared" si="55"/>
        <v>12783</v>
      </c>
      <c r="CM56" s="1091" t="s">
        <v>859</v>
      </c>
      <c r="CN56" s="1088"/>
      <c r="CO56" s="1193"/>
      <c r="CP56" s="1063"/>
      <c r="CQ56" s="1194">
        <v>9800</v>
      </c>
      <c r="CR56" s="1194">
        <v>6083</v>
      </c>
      <c r="CS56" s="1194"/>
      <c r="CT56" s="1087">
        <f t="shared" si="56"/>
        <v>15883</v>
      </c>
      <c r="CV56" s="1090" t="s">
        <v>859</v>
      </c>
      <c r="CW56" s="1088"/>
      <c r="CX56" s="1193"/>
      <c r="CY56" s="1000"/>
      <c r="CZ56" s="1194">
        <v>30300</v>
      </c>
      <c r="DA56" s="1194">
        <v>6083</v>
      </c>
      <c r="DB56" s="1194"/>
      <c r="DC56" s="1087">
        <f t="shared" si="73"/>
        <v>36383</v>
      </c>
      <c r="DE56" s="1089" t="s">
        <v>859</v>
      </c>
      <c r="DF56" s="1088"/>
      <c r="DG56" s="1193"/>
      <c r="DH56" s="992"/>
      <c r="DI56" s="1194">
        <f>30300</f>
        <v>30300</v>
      </c>
      <c r="DJ56" s="1194">
        <f>6083</f>
        <v>6083</v>
      </c>
      <c r="DK56" s="1194"/>
      <c r="DL56" s="1087">
        <f t="shared" si="74"/>
        <v>36383</v>
      </c>
      <c r="DN56" s="1089" t="s">
        <v>859</v>
      </c>
      <c r="DO56" s="1088"/>
      <c r="DP56" s="1193"/>
      <c r="DQ56" s="992"/>
      <c r="DR56" s="1194">
        <f>30300</f>
        <v>30300</v>
      </c>
      <c r="DS56" s="1194">
        <f>6083</f>
        <v>6083</v>
      </c>
      <c r="DT56" s="1194"/>
      <c r="DU56" s="1087">
        <f t="shared" si="75"/>
        <v>36383</v>
      </c>
      <c r="DW56" s="1089" t="s">
        <v>858</v>
      </c>
      <c r="DX56" s="1088"/>
      <c r="DY56" s="1193"/>
      <c r="DZ56" s="1194"/>
      <c r="EA56" s="1194">
        <f>10000</f>
        <v>10000</v>
      </c>
      <c r="EB56" s="1194">
        <f>9041</f>
        <v>9041</v>
      </c>
      <c r="EC56" s="1193">
        <v>621</v>
      </c>
      <c r="ED56" s="1087">
        <f t="shared" si="57"/>
        <v>19662</v>
      </c>
      <c r="EF56" s="1089" t="s">
        <v>858</v>
      </c>
      <c r="EG56" s="1088"/>
      <c r="EH56" s="1193"/>
      <c r="EI56" s="992"/>
      <c r="EJ56" s="1194">
        <f>20750</f>
        <v>20750</v>
      </c>
      <c r="EK56" s="1194">
        <f>9041</f>
        <v>9041</v>
      </c>
      <c r="EL56" s="1194">
        <v>621</v>
      </c>
      <c r="EM56" s="1087">
        <f t="shared" si="76"/>
        <v>30412</v>
      </c>
      <c r="EO56" s="1089" t="s">
        <v>466</v>
      </c>
      <c r="EP56" s="1088"/>
      <c r="EQ56" s="1193"/>
      <c r="ER56" s="1194"/>
      <c r="ES56" s="1194"/>
      <c r="ET56" s="1194">
        <f>7293-65</f>
        <v>7228</v>
      </c>
      <c r="EU56" s="1193">
        <v>1000</v>
      </c>
      <c r="EV56" s="1087">
        <f t="shared" si="58"/>
        <v>8228</v>
      </c>
      <c r="EX56" s="1089" t="s">
        <v>466</v>
      </c>
      <c r="EY56" s="1088"/>
      <c r="EZ56" s="1193"/>
      <c r="FA56" s="1194"/>
      <c r="FB56" s="1194">
        <f>8150</f>
        <v>8150</v>
      </c>
      <c r="FC56" s="1194">
        <f>7293-65</f>
        <v>7228</v>
      </c>
      <c r="FD56" s="1193">
        <v>1000</v>
      </c>
      <c r="FE56" s="1087">
        <f t="shared" si="59"/>
        <v>16378</v>
      </c>
      <c r="FG56" s="1089" t="s">
        <v>466</v>
      </c>
      <c r="FH56" s="1088"/>
      <c r="FI56" s="1193"/>
      <c r="FJ56" s="1194"/>
      <c r="FK56" s="1194">
        <f>12550</f>
        <v>12550</v>
      </c>
      <c r="FL56" s="1194">
        <f>7293-65</f>
        <v>7228</v>
      </c>
      <c r="FM56" s="1193">
        <v>1000</v>
      </c>
      <c r="FN56" s="1087">
        <f t="shared" si="60"/>
        <v>20778</v>
      </c>
      <c r="FP56" s="1089" t="s">
        <v>466</v>
      </c>
      <c r="FQ56" s="1088"/>
      <c r="FR56" s="1193"/>
      <c r="FS56" s="1194"/>
      <c r="FT56" s="1194">
        <f>19150</f>
        <v>19150</v>
      </c>
      <c r="FU56" s="1194">
        <f>7293-65</f>
        <v>7228</v>
      </c>
      <c r="FV56" s="1193">
        <f>1000</f>
        <v>1000</v>
      </c>
      <c r="FW56" s="1087">
        <f t="shared" si="77"/>
        <v>27378</v>
      </c>
      <c r="FY56" s="1089" t="s">
        <v>465</v>
      </c>
      <c r="FZ56" s="1092"/>
      <c r="GA56" s="1194"/>
      <c r="GB56" s="1194"/>
      <c r="GC56" s="1194">
        <v>5200</v>
      </c>
      <c r="GD56" s="1194">
        <f>9828-19</f>
        <v>9809</v>
      </c>
      <c r="GE56" s="1194">
        <f>1796</f>
        <v>1796</v>
      </c>
      <c r="GF56" s="1087">
        <f t="shared" si="61"/>
        <v>16805</v>
      </c>
      <c r="GH56" s="1089" t="s">
        <v>465</v>
      </c>
      <c r="GI56" s="1092"/>
      <c r="GJ56" s="1194"/>
      <c r="GK56" s="1194"/>
      <c r="GL56" s="1194">
        <v>5200</v>
      </c>
      <c r="GM56" s="1194">
        <f>9828-18</f>
        <v>9810</v>
      </c>
      <c r="GN56" s="1194">
        <f>1796</f>
        <v>1796</v>
      </c>
      <c r="GO56" s="1087">
        <f t="shared" si="62"/>
        <v>16806</v>
      </c>
      <c r="GQ56" s="1089" t="s">
        <v>465</v>
      </c>
      <c r="GR56" s="1092"/>
      <c r="GS56" s="1194"/>
      <c r="GT56" s="1194"/>
      <c r="GU56" s="1194">
        <v>10200</v>
      </c>
      <c r="GV56" s="1194">
        <f>9828-18</f>
        <v>9810</v>
      </c>
      <c r="GW56" s="1194">
        <f>1796</f>
        <v>1796</v>
      </c>
      <c r="GX56" s="1087">
        <f t="shared" si="63"/>
        <v>21806</v>
      </c>
      <c r="GZ56" s="1089" t="s">
        <v>465</v>
      </c>
      <c r="HA56" s="1092"/>
      <c r="HB56" s="1194"/>
      <c r="HC56" s="1194"/>
      <c r="HD56" s="1194">
        <f>10200-5</f>
        <v>10195</v>
      </c>
      <c r="HE56" s="1194">
        <f>9828-17</f>
        <v>9811</v>
      </c>
      <c r="HF56" s="1194">
        <f>1796</f>
        <v>1796</v>
      </c>
      <c r="HG56" s="1087">
        <f t="shared" si="78"/>
        <v>21802</v>
      </c>
      <c r="HI56" s="1089" t="s">
        <v>465</v>
      </c>
      <c r="HJ56" s="1092"/>
      <c r="HK56" s="1194"/>
      <c r="HL56" s="1194"/>
      <c r="HM56" s="1194">
        <f>10200-5</f>
        <v>10195</v>
      </c>
      <c r="HN56" s="1194">
        <f>9828-17</f>
        <v>9811</v>
      </c>
      <c r="HO56" s="1194">
        <f>1796</f>
        <v>1796</v>
      </c>
      <c r="HP56" s="1087">
        <f t="shared" si="79"/>
        <v>21802</v>
      </c>
      <c r="HR56" s="1089" t="s">
        <v>464</v>
      </c>
      <c r="HS56" s="1088"/>
      <c r="HT56" s="1194"/>
      <c r="HU56" s="1194"/>
      <c r="HV56" s="1194">
        <f>6800</f>
        <v>6800</v>
      </c>
      <c r="HW56" s="1194">
        <f>9096</f>
        <v>9096</v>
      </c>
      <c r="HX56" s="1194">
        <v>0</v>
      </c>
      <c r="HY56" s="1087">
        <f t="shared" si="64"/>
        <v>15896</v>
      </c>
      <c r="IA56" s="1089" t="s">
        <v>464</v>
      </c>
      <c r="IB56" s="1088"/>
      <c r="IC56" s="1194"/>
      <c r="ID56" s="1194"/>
      <c r="IE56" s="1194">
        <f>10300</f>
        <v>10300</v>
      </c>
      <c r="IF56" s="1194">
        <f>9096</f>
        <v>9096</v>
      </c>
      <c r="IG56" s="1194">
        <v>0</v>
      </c>
      <c r="IH56" s="1087">
        <f t="shared" si="65"/>
        <v>19396</v>
      </c>
      <c r="IJ56" s="1089" t="s">
        <v>464</v>
      </c>
      <c r="IK56" s="1088"/>
      <c r="IL56" s="1194"/>
      <c r="IM56" s="1194"/>
      <c r="IN56" s="1194">
        <f>12600</f>
        <v>12600</v>
      </c>
      <c r="IO56" s="1194">
        <f>9096</f>
        <v>9096</v>
      </c>
      <c r="IP56" s="1194">
        <v>0</v>
      </c>
      <c r="IQ56" s="1087">
        <f t="shared" si="80"/>
        <v>21696</v>
      </c>
    </row>
    <row r="57" spans="2:251" ht="15.5" hidden="1" x14ac:dyDescent="0.35">
      <c r="B57" s="1058" t="s">
        <v>861</v>
      </c>
      <c r="C57" s="1085"/>
      <c r="D57" s="1061"/>
      <c r="E57" s="1060"/>
      <c r="F57" s="1060">
        <v>4000</v>
      </c>
      <c r="G57" s="1060">
        <v>2631</v>
      </c>
      <c r="H57" s="1060"/>
      <c r="I57" s="1059">
        <f t="shared" si="66"/>
        <v>6631</v>
      </c>
      <c r="K57" s="1058" t="s">
        <v>861</v>
      </c>
      <c r="L57" s="1085"/>
      <c r="M57" s="1061"/>
      <c r="N57" s="1060"/>
      <c r="O57" s="1060">
        <v>8000</v>
      </c>
      <c r="P57" s="1060">
        <v>2631</v>
      </c>
      <c r="Q57" s="1060"/>
      <c r="R57" s="1059">
        <f t="shared" si="67"/>
        <v>10631</v>
      </c>
      <c r="T57" s="1058" t="s">
        <v>861</v>
      </c>
      <c r="U57" s="1085"/>
      <c r="V57" s="1061"/>
      <c r="W57" s="1060"/>
      <c r="X57" s="1060">
        <v>10000</v>
      </c>
      <c r="Y57" s="1060">
        <v>2631</v>
      </c>
      <c r="Z57" s="1060"/>
      <c r="AA57" s="1059">
        <f t="shared" si="68"/>
        <v>12631</v>
      </c>
      <c r="AC57" s="1058" t="s">
        <v>860</v>
      </c>
      <c r="AD57" s="1085"/>
      <c r="AE57" s="1061"/>
      <c r="AF57" s="1060"/>
      <c r="AG57" s="1060"/>
      <c r="AH57" s="1060">
        <v>6513</v>
      </c>
      <c r="AI57" s="1060"/>
      <c r="AJ57" s="1059">
        <f t="shared" si="69"/>
        <v>6513</v>
      </c>
      <c r="AL57" s="1058" t="s">
        <v>860</v>
      </c>
      <c r="AM57" s="1085"/>
      <c r="AN57" s="1061"/>
      <c r="AO57" s="1060"/>
      <c r="AP57" s="1060"/>
      <c r="AQ57" s="1060">
        <v>6513</v>
      </c>
      <c r="AR57" s="1060"/>
      <c r="AS57" s="1059">
        <f t="shared" si="70"/>
        <v>6513</v>
      </c>
      <c r="AU57" s="1058" t="s">
        <v>860</v>
      </c>
      <c r="AV57" s="1085"/>
      <c r="AW57" s="1061"/>
      <c r="AX57" s="1060"/>
      <c r="AY57" s="1060">
        <v>1700</v>
      </c>
      <c r="AZ57" s="1060">
        <v>6513</v>
      </c>
      <c r="BA57" s="1060"/>
      <c r="BB57" s="1059">
        <f t="shared" si="71"/>
        <v>8213</v>
      </c>
      <c r="BD57" s="1058" t="s">
        <v>859</v>
      </c>
      <c r="BE57" s="1085"/>
      <c r="BF57" s="1061"/>
      <c r="BG57" s="103"/>
      <c r="BH57" s="1060"/>
      <c r="BI57" s="1060">
        <v>6083</v>
      </c>
      <c r="BJ57" s="1060"/>
      <c r="BK57" s="1059">
        <f t="shared" si="53"/>
        <v>6083</v>
      </c>
      <c r="BL57" s="1058" t="s">
        <v>859</v>
      </c>
      <c r="BM57" s="1085"/>
      <c r="BN57" s="1061"/>
      <c r="BO57" s="103"/>
      <c r="BP57" s="1060"/>
      <c r="BQ57" s="1060">
        <v>6083</v>
      </c>
      <c r="BR57" s="1060"/>
      <c r="BS57" s="1059">
        <f t="shared" si="72"/>
        <v>6083</v>
      </c>
      <c r="BU57" s="1058" t="s">
        <v>858</v>
      </c>
      <c r="BV57" s="1085"/>
      <c r="BW57" s="1061"/>
      <c r="BX57" s="1060"/>
      <c r="BY57" s="1060"/>
      <c r="BZ57" s="1060">
        <v>9041</v>
      </c>
      <c r="CA57" s="1061">
        <v>621</v>
      </c>
      <c r="CB57" s="1059">
        <f t="shared" si="54"/>
        <v>9662</v>
      </c>
      <c r="CD57" s="1058" t="s">
        <v>858</v>
      </c>
      <c r="CE57" s="1085"/>
      <c r="CF57" s="1061"/>
      <c r="CG57" s="1060"/>
      <c r="CH57" s="1060"/>
      <c r="CI57" s="1060">
        <v>9041</v>
      </c>
      <c r="CJ57" s="1061">
        <v>621</v>
      </c>
      <c r="CK57" s="1059">
        <f t="shared" si="55"/>
        <v>9662</v>
      </c>
      <c r="CM57" s="1091" t="s">
        <v>858</v>
      </c>
      <c r="CN57" s="1088"/>
      <c r="CO57" s="1193"/>
      <c r="CP57" s="1194"/>
      <c r="CQ57" s="1194"/>
      <c r="CR57" s="1194">
        <v>9041</v>
      </c>
      <c r="CS57" s="1193">
        <v>621</v>
      </c>
      <c r="CT57" s="1087">
        <f t="shared" si="56"/>
        <v>9662</v>
      </c>
      <c r="CV57" s="1090" t="s">
        <v>858</v>
      </c>
      <c r="CW57" s="1088"/>
      <c r="CX57" s="1193"/>
      <c r="CY57" s="1194"/>
      <c r="CZ57" s="1194"/>
      <c r="DA57" s="1194">
        <v>9041</v>
      </c>
      <c r="DB57" s="1193">
        <v>621</v>
      </c>
      <c r="DC57" s="1087">
        <f t="shared" si="73"/>
        <v>9662</v>
      </c>
      <c r="DE57" s="1089" t="s">
        <v>858</v>
      </c>
      <c r="DF57" s="1088"/>
      <c r="DG57" s="1193"/>
      <c r="DH57" s="1194"/>
      <c r="DI57" s="1194"/>
      <c r="DJ57" s="1194">
        <v>9041</v>
      </c>
      <c r="DK57" s="1193">
        <v>621</v>
      </c>
      <c r="DL57" s="1087">
        <f t="shared" si="74"/>
        <v>9662</v>
      </c>
      <c r="DN57" s="1089" t="s">
        <v>858</v>
      </c>
      <c r="DO57" s="1088"/>
      <c r="DP57" s="1193"/>
      <c r="DQ57" s="1194"/>
      <c r="DR57" s="1194">
        <v>4000</v>
      </c>
      <c r="DS57" s="1194">
        <v>9041</v>
      </c>
      <c r="DT57" s="1193">
        <v>621</v>
      </c>
      <c r="DU57" s="1087">
        <f t="shared" si="75"/>
        <v>13662</v>
      </c>
      <c r="DW57" s="1089" t="s">
        <v>466</v>
      </c>
      <c r="DX57" s="1092"/>
      <c r="DY57" s="1194"/>
      <c r="DZ57" s="1194"/>
      <c r="EA57" s="1194"/>
      <c r="EB57" s="1194">
        <f>7293-65</f>
        <v>7228</v>
      </c>
      <c r="EC57" s="1194">
        <v>1000</v>
      </c>
      <c r="ED57" s="1087">
        <f t="shared" si="57"/>
        <v>8228</v>
      </c>
      <c r="EF57" s="1089" t="s">
        <v>466</v>
      </c>
      <c r="EG57" s="1088"/>
      <c r="EH57" s="1193"/>
      <c r="EI57" s="1194"/>
      <c r="EJ57" s="1194"/>
      <c r="EK57" s="1194">
        <f>7293-65</f>
        <v>7228</v>
      </c>
      <c r="EL57" s="1193">
        <v>1000</v>
      </c>
      <c r="EM57" s="1087">
        <f t="shared" si="76"/>
        <v>8228</v>
      </c>
      <c r="EO57" s="1089" t="s">
        <v>465</v>
      </c>
      <c r="EP57" s="1092"/>
      <c r="EQ57" s="1194"/>
      <c r="ER57" s="1194"/>
      <c r="ES57" s="1194"/>
      <c r="ET57" s="1194">
        <f>9828-14</f>
        <v>9814</v>
      </c>
      <c r="EU57" s="1194">
        <v>1796</v>
      </c>
      <c r="EV57" s="1087">
        <f t="shared" si="58"/>
        <v>11610</v>
      </c>
      <c r="EX57" s="1089" t="s">
        <v>465</v>
      </c>
      <c r="EY57" s="1092"/>
      <c r="EZ57" s="1194"/>
      <c r="FA57" s="1194"/>
      <c r="FB57" s="1194"/>
      <c r="FC57" s="1194">
        <f>9828-14</f>
        <v>9814</v>
      </c>
      <c r="FD57" s="1194">
        <v>1796</v>
      </c>
      <c r="FE57" s="1087">
        <f t="shared" si="59"/>
        <v>11610</v>
      </c>
      <c r="FG57" s="1089" t="s">
        <v>465</v>
      </c>
      <c r="FH57" s="1092"/>
      <c r="FI57" s="1194"/>
      <c r="FJ57" s="1194"/>
      <c r="FK57" s="1194"/>
      <c r="FL57" s="1194">
        <f>9828-14</f>
        <v>9814</v>
      </c>
      <c r="FM57" s="1194">
        <v>1796</v>
      </c>
      <c r="FN57" s="1087">
        <f t="shared" si="60"/>
        <v>11610</v>
      </c>
      <c r="FP57" s="1089" t="s">
        <v>465</v>
      </c>
      <c r="FQ57" s="1092"/>
      <c r="FR57" s="1194"/>
      <c r="FS57" s="1194"/>
      <c r="FT57" s="1194"/>
      <c r="FU57" s="1194">
        <f>9828-18</f>
        <v>9810</v>
      </c>
      <c r="FV57" s="1194">
        <f>1796</f>
        <v>1796</v>
      </c>
      <c r="FW57" s="1087">
        <f t="shared" si="77"/>
        <v>11606</v>
      </c>
      <c r="FY57" s="1089" t="s">
        <v>464</v>
      </c>
      <c r="FZ57" s="1088"/>
      <c r="GA57" s="1194"/>
      <c r="GB57" s="1194"/>
      <c r="GC57" s="1194"/>
      <c r="GD57" s="1194">
        <f>9096</f>
        <v>9096</v>
      </c>
      <c r="GE57" s="1194">
        <v>0</v>
      </c>
      <c r="GF57" s="1087">
        <f t="shared" si="61"/>
        <v>9096</v>
      </c>
      <c r="GH57" s="1089" t="s">
        <v>464</v>
      </c>
      <c r="GI57" s="1088"/>
      <c r="GJ57" s="1194"/>
      <c r="GK57" s="1194"/>
      <c r="GL57" s="1194"/>
      <c r="GM57" s="1194">
        <f>9096</f>
        <v>9096</v>
      </c>
      <c r="GN57" s="1194">
        <v>0</v>
      </c>
      <c r="GO57" s="1087">
        <f t="shared" si="62"/>
        <v>9096</v>
      </c>
      <c r="GQ57" s="1089" t="s">
        <v>464</v>
      </c>
      <c r="GR57" s="1088"/>
      <c r="GS57" s="1194"/>
      <c r="GT57" s="1194"/>
      <c r="GU57" s="1194"/>
      <c r="GV57" s="1194">
        <f>9096</f>
        <v>9096</v>
      </c>
      <c r="GW57" s="1194">
        <v>0</v>
      </c>
      <c r="GX57" s="1087">
        <f t="shared" si="63"/>
        <v>9096</v>
      </c>
      <c r="GZ57" s="1089" t="s">
        <v>464</v>
      </c>
      <c r="HA57" s="1088"/>
      <c r="HB57" s="1194"/>
      <c r="HC57" s="1194"/>
      <c r="HD57" s="1194"/>
      <c r="HE57" s="1194">
        <f>9096</f>
        <v>9096</v>
      </c>
      <c r="HF57" s="1194">
        <v>0</v>
      </c>
      <c r="HG57" s="1087">
        <f t="shared" si="78"/>
        <v>9096</v>
      </c>
      <c r="HI57" s="1089" t="s">
        <v>464</v>
      </c>
      <c r="HJ57" s="1088"/>
      <c r="HK57" s="1194"/>
      <c r="HL57" s="1194"/>
      <c r="HM57" s="1194">
        <v>1700</v>
      </c>
      <c r="HN57" s="1194">
        <f>9096</f>
        <v>9096</v>
      </c>
      <c r="HO57" s="1194">
        <v>0</v>
      </c>
      <c r="HP57" s="1087">
        <f t="shared" si="79"/>
        <v>10796</v>
      </c>
      <c r="HR57" s="1079" t="s">
        <v>463</v>
      </c>
      <c r="HS57" s="1088"/>
      <c r="HT57" s="1194"/>
      <c r="HU57" s="1194"/>
      <c r="HV57" s="1194">
        <f>10050-13</f>
        <v>10037</v>
      </c>
      <c r="HW57" s="1194">
        <f>9382-23</f>
        <v>9359</v>
      </c>
      <c r="HX57" s="1194">
        <f>2200</f>
        <v>2200</v>
      </c>
      <c r="HY57" s="1087">
        <f t="shared" si="64"/>
        <v>21596</v>
      </c>
      <c r="IA57" s="1079" t="s">
        <v>463</v>
      </c>
      <c r="IB57" s="1088"/>
      <c r="IC57" s="1194"/>
      <c r="ID57" s="1194"/>
      <c r="IE57" s="1194">
        <f>10050-13</f>
        <v>10037</v>
      </c>
      <c r="IF57" s="1194">
        <f>9382-23</f>
        <v>9359</v>
      </c>
      <c r="IG57" s="1194">
        <f>2200</f>
        <v>2200</v>
      </c>
      <c r="IH57" s="1087">
        <f t="shared" si="65"/>
        <v>21596</v>
      </c>
      <c r="IJ57" s="1079" t="s">
        <v>463</v>
      </c>
      <c r="IK57" s="1088"/>
      <c r="IL57" s="1194"/>
      <c r="IM57" s="1194"/>
      <c r="IN57" s="1194">
        <f>10050-13</f>
        <v>10037</v>
      </c>
      <c r="IO57" s="1194">
        <f>9382-23</f>
        <v>9359</v>
      </c>
      <c r="IP57" s="1194">
        <f>2200</f>
        <v>2200</v>
      </c>
      <c r="IQ57" s="1087">
        <f t="shared" si="80"/>
        <v>21596</v>
      </c>
    </row>
    <row r="58" spans="2:251" ht="15.5" hidden="1" x14ac:dyDescent="0.35">
      <c r="B58" s="1058" t="s">
        <v>860</v>
      </c>
      <c r="C58" s="1085"/>
      <c r="D58" s="1061"/>
      <c r="E58" s="1060"/>
      <c r="F58" s="1060"/>
      <c r="G58" s="1060">
        <v>6513</v>
      </c>
      <c r="H58" s="1060"/>
      <c r="I58" s="1059">
        <f t="shared" si="66"/>
        <v>6513</v>
      </c>
      <c r="K58" s="1058" t="s">
        <v>860</v>
      </c>
      <c r="L58" s="1085"/>
      <c r="M58" s="1061"/>
      <c r="N58" s="1060"/>
      <c r="O58" s="1060"/>
      <c r="P58" s="1060">
        <v>6513</v>
      </c>
      <c r="Q58" s="1060"/>
      <c r="R58" s="1059">
        <f t="shared" si="67"/>
        <v>6513</v>
      </c>
      <c r="T58" s="1058" t="s">
        <v>860</v>
      </c>
      <c r="U58" s="1085"/>
      <c r="V58" s="1061"/>
      <c r="W58" s="1060"/>
      <c r="X58" s="1060"/>
      <c r="Y58" s="1060">
        <v>6513</v>
      </c>
      <c r="Z58" s="1060"/>
      <c r="AA58" s="1059">
        <f t="shared" si="68"/>
        <v>6513</v>
      </c>
      <c r="AC58" s="1058" t="s">
        <v>859</v>
      </c>
      <c r="AD58" s="1085"/>
      <c r="AE58" s="1061"/>
      <c r="AF58" s="1060"/>
      <c r="AG58" s="1060"/>
      <c r="AH58" s="1060">
        <v>6083</v>
      </c>
      <c r="AI58" s="1060"/>
      <c r="AJ58" s="1059">
        <f t="shared" si="69"/>
        <v>6083</v>
      </c>
      <c r="AL58" s="1058" t="s">
        <v>859</v>
      </c>
      <c r="AM58" s="1085"/>
      <c r="AN58" s="1061"/>
      <c r="AO58" s="103"/>
      <c r="AP58" s="1060"/>
      <c r="AQ58" s="1060">
        <v>6083</v>
      </c>
      <c r="AR58" s="1060"/>
      <c r="AS58" s="1059">
        <f t="shared" si="70"/>
        <v>6083</v>
      </c>
      <c r="AU58" s="1058" t="s">
        <v>859</v>
      </c>
      <c r="AV58" s="1085"/>
      <c r="AW58" s="1061"/>
      <c r="AX58" s="103"/>
      <c r="AY58" s="1060"/>
      <c r="AZ58" s="1060">
        <v>6083</v>
      </c>
      <c r="BA58" s="1060"/>
      <c r="BB58" s="1059">
        <f t="shared" si="71"/>
        <v>6083</v>
      </c>
      <c r="BD58" s="1058" t="s">
        <v>858</v>
      </c>
      <c r="BE58" s="1085"/>
      <c r="BF58" s="1061"/>
      <c r="BG58" s="1060"/>
      <c r="BH58" s="1060"/>
      <c r="BI58" s="1060">
        <v>9041</v>
      </c>
      <c r="BJ58" s="1061">
        <v>621</v>
      </c>
      <c r="BK58" s="1059">
        <f t="shared" si="53"/>
        <v>9662</v>
      </c>
      <c r="BL58" s="1058" t="s">
        <v>858</v>
      </c>
      <c r="BM58" s="1085"/>
      <c r="BN58" s="1061"/>
      <c r="BO58" s="1060"/>
      <c r="BP58" s="1060"/>
      <c r="BQ58" s="1060">
        <v>9041</v>
      </c>
      <c r="BR58" s="1061">
        <v>621</v>
      </c>
      <c r="BS58" s="1059">
        <f t="shared" si="72"/>
        <v>9662</v>
      </c>
      <c r="BU58" s="1058" t="s">
        <v>466</v>
      </c>
      <c r="BV58" s="1086"/>
      <c r="BW58" s="1060"/>
      <c r="BX58" s="1060"/>
      <c r="BY58" s="1060"/>
      <c r="BZ58" s="1060">
        <f>2493+1400+1400+2000</f>
        <v>7293</v>
      </c>
      <c r="CA58" s="1060">
        <v>1000</v>
      </c>
      <c r="CB58" s="1059">
        <f t="shared" si="54"/>
        <v>8293</v>
      </c>
      <c r="CD58" s="1058" t="s">
        <v>466</v>
      </c>
      <c r="CE58" s="1086"/>
      <c r="CF58" s="1060"/>
      <c r="CG58" s="1060"/>
      <c r="CH58" s="1060"/>
      <c r="CI58" s="1060">
        <f>2493+1400+1400+2000</f>
        <v>7293</v>
      </c>
      <c r="CJ58" s="1060">
        <v>1000</v>
      </c>
      <c r="CK58" s="1059">
        <f t="shared" si="55"/>
        <v>8293</v>
      </c>
      <c r="CM58" s="1091" t="s">
        <v>466</v>
      </c>
      <c r="CN58" s="1092"/>
      <c r="CO58" s="1194"/>
      <c r="CP58" s="1194"/>
      <c r="CQ58" s="1194"/>
      <c r="CR58" s="1194">
        <f>2493+1400+1400+2000</f>
        <v>7293</v>
      </c>
      <c r="CS58" s="1194">
        <v>1000</v>
      </c>
      <c r="CT58" s="1087">
        <f t="shared" si="56"/>
        <v>8293</v>
      </c>
      <c r="CV58" s="1090" t="s">
        <v>466</v>
      </c>
      <c r="CW58" s="1092"/>
      <c r="CX58" s="1194"/>
      <c r="CY58" s="1194"/>
      <c r="CZ58" s="1194"/>
      <c r="DA58" s="1194">
        <f>2493+1400+1400+2000-65</f>
        <v>7228</v>
      </c>
      <c r="DB58" s="1194">
        <v>1000</v>
      </c>
      <c r="DC58" s="1087">
        <f t="shared" si="73"/>
        <v>8228</v>
      </c>
      <c r="DE58" s="1089" t="s">
        <v>466</v>
      </c>
      <c r="DF58" s="1092"/>
      <c r="DG58" s="1194"/>
      <c r="DH58" s="1194"/>
      <c r="DI58" s="1194"/>
      <c r="DJ58" s="1194">
        <f>7293-65</f>
        <v>7228</v>
      </c>
      <c r="DK58" s="1194">
        <v>1000</v>
      </c>
      <c r="DL58" s="1087">
        <f t="shared" si="74"/>
        <v>8228</v>
      </c>
      <c r="DN58" s="1089" t="s">
        <v>466</v>
      </c>
      <c r="DO58" s="1092"/>
      <c r="DP58" s="1194"/>
      <c r="DQ58" s="1194"/>
      <c r="DR58" s="1194"/>
      <c r="DS58" s="1194">
        <f>7293-65</f>
        <v>7228</v>
      </c>
      <c r="DT58" s="1194">
        <v>1000</v>
      </c>
      <c r="DU58" s="1087">
        <f t="shared" si="75"/>
        <v>8228</v>
      </c>
      <c r="DW58" s="1089" t="s">
        <v>465</v>
      </c>
      <c r="DX58" s="1088"/>
      <c r="DY58" s="1194"/>
      <c r="DZ58" s="1194"/>
      <c r="EA58" s="1194"/>
      <c r="EB58" s="1194">
        <f>9828-14</f>
        <v>9814</v>
      </c>
      <c r="EC58" s="1194">
        <v>1796</v>
      </c>
      <c r="ED58" s="1087">
        <f t="shared" si="57"/>
        <v>11610</v>
      </c>
      <c r="EF58" s="1089" t="s">
        <v>465</v>
      </c>
      <c r="EG58" s="1092"/>
      <c r="EH58" s="1194"/>
      <c r="EI58" s="1194"/>
      <c r="EJ58" s="1194"/>
      <c r="EK58" s="1194">
        <f>9828-14</f>
        <v>9814</v>
      </c>
      <c r="EL58" s="1194">
        <v>1796</v>
      </c>
      <c r="EM58" s="1087">
        <f t="shared" si="76"/>
        <v>11610</v>
      </c>
      <c r="EO58" s="1089" t="s">
        <v>464</v>
      </c>
      <c r="EP58" s="1088"/>
      <c r="EQ58" s="1194"/>
      <c r="ER58" s="1194"/>
      <c r="ES58" s="1194"/>
      <c r="ET58" s="1194">
        <v>9096</v>
      </c>
      <c r="EU58" s="1194">
        <v>0</v>
      </c>
      <c r="EV58" s="1087">
        <f t="shared" si="58"/>
        <v>9096</v>
      </c>
      <c r="EX58" s="1089" t="s">
        <v>464</v>
      </c>
      <c r="EY58" s="1088"/>
      <c r="EZ58" s="1194"/>
      <c r="FA58" s="1194"/>
      <c r="FB58" s="1194"/>
      <c r="FC58" s="1194">
        <v>9096</v>
      </c>
      <c r="FD58" s="1194">
        <v>0</v>
      </c>
      <c r="FE58" s="1087">
        <f t="shared" si="59"/>
        <v>9096</v>
      </c>
      <c r="FG58" s="1089" t="s">
        <v>464</v>
      </c>
      <c r="FH58" s="1088"/>
      <c r="FI58" s="1194"/>
      <c r="FJ58" s="1194"/>
      <c r="FK58" s="1194"/>
      <c r="FL58" s="1194">
        <v>9096</v>
      </c>
      <c r="FM58" s="1194">
        <v>0</v>
      </c>
      <c r="FN58" s="1087">
        <f t="shared" si="60"/>
        <v>9096</v>
      </c>
      <c r="FP58" s="1089" t="s">
        <v>464</v>
      </c>
      <c r="FQ58" s="1088"/>
      <c r="FR58" s="1194"/>
      <c r="FS58" s="1194"/>
      <c r="FT58" s="1194"/>
      <c r="FU58" s="1194">
        <f>9096</f>
        <v>9096</v>
      </c>
      <c r="FV58" s="1194">
        <v>0</v>
      </c>
      <c r="FW58" s="1087">
        <f t="shared" si="77"/>
        <v>9096</v>
      </c>
      <c r="FY58" s="1079" t="s">
        <v>463</v>
      </c>
      <c r="FZ58" s="1088"/>
      <c r="GA58" s="1194"/>
      <c r="GB58" s="1194"/>
      <c r="GC58" s="1194"/>
      <c r="GD58" s="1194">
        <f>9382-23</f>
        <v>9359</v>
      </c>
      <c r="GE58" s="1197">
        <f>2200</f>
        <v>2200</v>
      </c>
      <c r="GF58" s="1087">
        <f t="shared" si="61"/>
        <v>11559</v>
      </c>
      <c r="GH58" s="1079" t="s">
        <v>463</v>
      </c>
      <c r="GI58" s="1088"/>
      <c r="GJ58" s="1194"/>
      <c r="GK58" s="1194"/>
      <c r="GL58" s="1194">
        <v>5050</v>
      </c>
      <c r="GM58" s="1194">
        <f>9382-23+5050-5050</f>
        <v>9359</v>
      </c>
      <c r="GN58" s="1197">
        <f>2200</f>
        <v>2200</v>
      </c>
      <c r="GO58" s="1087">
        <f t="shared" si="62"/>
        <v>16609</v>
      </c>
      <c r="GQ58" s="1079" t="s">
        <v>463</v>
      </c>
      <c r="GR58" s="1088"/>
      <c r="GS58" s="1194"/>
      <c r="GT58" s="1194"/>
      <c r="GU58" s="1194">
        <f>5050</f>
        <v>5050</v>
      </c>
      <c r="GV58" s="1194">
        <f>9382-23+5050-5050</f>
        <v>9359</v>
      </c>
      <c r="GW58" s="1194">
        <f>2200</f>
        <v>2200</v>
      </c>
      <c r="GX58" s="1087">
        <f t="shared" si="63"/>
        <v>16609</v>
      </c>
      <c r="GZ58" s="1079" t="s">
        <v>463</v>
      </c>
      <c r="HA58" s="1088"/>
      <c r="HB58" s="1194"/>
      <c r="HC58" s="1194"/>
      <c r="HD58" s="1194">
        <f>10050-13</f>
        <v>10037</v>
      </c>
      <c r="HE58" s="1194">
        <f>9382-23</f>
        <v>9359</v>
      </c>
      <c r="HF58" s="1194">
        <f>2200</f>
        <v>2200</v>
      </c>
      <c r="HG58" s="1087">
        <f t="shared" si="78"/>
        <v>21596</v>
      </c>
      <c r="HI58" s="1079" t="s">
        <v>463</v>
      </c>
      <c r="HJ58" s="1088"/>
      <c r="HK58" s="1194"/>
      <c r="HL58" s="1194"/>
      <c r="HM58" s="1194">
        <f>10050-13</f>
        <v>10037</v>
      </c>
      <c r="HN58" s="1194">
        <f>9382-23</f>
        <v>9359</v>
      </c>
      <c r="HO58" s="1194">
        <f>2200</f>
        <v>2200</v>
      </c>
      <c r="HP58" s="1087">
        <f t="shared" si="79"/>
        <v>21596</v>
      </c>
      <c r="HR58" s="1079" t="s">
        <v>462</v>
      </c>
      <c r="HS58" s="1088"/>
      <c r="HT58" s="1194"/>
      <c r="HU58" s="1194"/>
      <c r="HV58" s="1194">
        <f>2000-8</f>
        <v>1992</v>
      </c>
      <c r="HW58" s="1194">
        <f>11000-5</f>
        <v>10995</v>
      </c>
      <c r="HX58" s="1194">
        <v>1500</v>
      </c>
      <c r="HY58" s="1087">
        <f t="shared" si="64"/>
        <v>14487</v>
      </c>
      <c r="IA58" s="1079" t="s">
        <v>462</v>
      </c>
      <c r="IB58" s="1088"/>
      <c r="IC58" s="1194"/>
      <c r="ID58" s="1194"/>
      <c r="IE58" s="1194">
        <f>6200-17</f>
        <v>6183</v>
      </c>
      <c r="IF58" s="1194">
        <f>11000</f>
        <v>11000</v>
      </c>
      <c r="IG58" s="1194">
        <v>1500</v>
      </c>
      <c r="IH58" s="1087">
        <f t="shared" si="65"/>
        <v>18683</v>
      </c>
      <c r="IJ58" s="1079" t="s">
        <v>462</v>
      </c>
      <c r="IK58" s="1088"/>
      <c r="IL58" s="1194"/>
      <c r="IM58" s="1194"/>
      <c r="IN58" s="1194">
        <f>6200-20</f>
        <v>6180</v>
      </c>
      <c r="IO58" s="1194">
        <f>11000</f>
        <v>11000</v>
      </c>
      <c r="IP58" s="1194">
        <v>1500</v>
      </c>
      <c r="IQ58" s="1087">
        <f t="shared" si="80"/>
        <v>18680</v>
      </c>
    </row>
    <row r="59" spans="2:251" ht="15.5" hidden="1" x14ac:dyDescent="0.35">
      <c r="B59" s="1058" t="s">
        <v>859</v>
      </c>
      <c r="C59" s="1085"/>
      <c r="D59" s="1061"/>
      <c r="E59" s="1060"/>
      <c r="F59" s="1060"/>
      <c r="G59" s="1060">
        <v>6083</v>
      </c>
      <c r="H59" s="1060"/>
      <c r="I59" s="1059">
        <f t="shared" si="66"/>
        <v>6083</v>
      </c>
      <c r="K59" s="1058" t="s">
        <v>859</v>
      </c>
      <c r="L59" s="1085"/>
      <c r="M59" s="1061"/>
      <c r="N59" s="1060"/>
      <c r="O59" s="1060"/>
      <c r="P59" s="1060">
        <v>6083</v>
      </c>
      <c r="Q59" s="1060"/>
      <c r="R59" s="1059">
        <f t="shared" si="67"/>
        <v>6083</v>
      </c>
      <c r="T59" s="1058" t="s">
        <v>859</v>
      </c>
      <c r="U59" s="1085"/>
      <c r="V59" s="1061"/>
      <c r="W59" s="1060"/>
      <c r="X59" s="1060"/>
      <c r="Y59" s="1060">
        <v>6083</v>
      </c>
      <c r="Z59" s="1060"/>
      <c r="AA59" s="1059">
        <f t="shared" si="68"/>
        <v>6083</v>
      </c>
      <c r="AC59" s="1058" t="s">
        <v>858</v>
      </c>
      <c r="AD59" s="1085"/>
      <c r="AE59" s="1061"/>
      <c r="AF59" s="1060"/>
      <c r="AG59" s="1060"/>
      <c r="AH59" s="1060">
        <v>9041</v>
      </c>
      <c r="AI59" s="1061">
        <v>621</v>
      </c>
      <c r="AJ59" s="1059">
        <f t="shared" si="69"/>
        <v>9662</v>
      </c>
      <c r="AL59" s="1058" t="s">
        <v>858</v>
      </c>
      <c r="AM59" s="1085"/>
      <c r="AN59" s="1061"/>
      <c r="AO59" s="1060"/>
      <c r="AP59" s="1060"/>
      <c r="AQ59" s="1060">
        <v>9041</v>
      </c>
      <c r="AR59" s="1061">
        <v>621</v>
      </c>
      <c r="AS59" s="1059">
        <f t="shared" si="70"/>
        <v>9662</v>
      </c>
      <c r="AU59" s="1058" t="s">
        <v>858</v>
      </c>
      <c r="AV59" s="1085"/>
      <c r="AW59" s="1061"/>
      <c r="AX59" s="1060"/>
      <c r="AY59" s="1060"/>
      <c r="AZ59" s="1060">
        <v>9041</v>
      </c>
      <c r="BA59" s="1061">
        <v>621</v>
      </c>
      <c r="BB59" s="1059">
        <f t="shared" si="71"/>
        <v>9662</v>
      </c>
      <c r="BD59" s="1058" t="s">
        <v>466</v>
      </c>
      <c r="BE59" s="1086"/>
      <c r="BF59" s="1061"/>
      <c r="BG59" s="1060"/>
      <c r="BH59" s="1060"/>
      <c r="BI59" s="1060">
        <f>2493+1400+1400+2000</f>
        <v>7293</v>
      </c>
      <c r="BJ59" s="1060">
        <v>1000</v>
      </c>
      <c r="BK59" s="1059">
        <f t="shared" si="53"/>
        <v>8293</v>
      </c>
      <c r="BL59" s="1058" t="s">
        <v>466</v>
      </c>
      <c r="BM59" s="1086"/>
      <c r="BN59" s="1061"/>
      <c r="BO59" s="1060"/>
      <c r="BP59" s="1060"/>
      <c r="BQ59" s="1060">
        <f>2493+1400+1400+2000</f>
        <v>7293</v>
      </c>
      <c r="BR59" s="1060">
        <v>1000</v>
      </c>
      <c r="BS59" s="1059">
        <f t="shared" si="72"/>
        <v>8293</v>
      </c>
      <c r="BU59" s="1058" t="s">
        <v>465</v>
      </c>
      <c r="BV59" s="1085"/>
      <c r="BW59" s="1060"/>
      <c r="BX59" s="1060"/>
      <c r="BY59" s="1060"/>
      <c r="BZ59" s="1060">
        <f>4328+1800+1800+1900</f>
        <v>9828</v>
      </c>
      <c r="CA59" s="1060">
        <v>1796</v>
      </c>
      <c r="CB59" s="1059">
        <f t="shared" si="54"/>
        <v>11624</v>
      </c>
      <c r="CD59" s="1058" t="s">
        <v>465</v>
      </c>
      <c r="CE59" s="1085"/>
      <c r="CF59" s="1060"/>
      <c r="CG59" s="1060"/>
      <c r="CH59" s="1060"/>
      <c r="CI59" s="1060">
        <f>4328+1800+1800+1900</f>
        <v>9828</v>
      </c>
      <c r="CJ59" s="1060">
        <v>1796</v>
      </c>
      <c r="CK59" s="1059">
        <f t="shared" si="55"/>
        <v>11624</v>
      </c>
      <c r="CM59" s="1091" t="s">
        <v>465</v>
      </c>
      <c r="CN59" s="1088"/>
      <c r="CO59" s="1194"/>
      <c r="CP59" s="1194"/>
      <c r="CQ59" s="1194"/>
      <c r="CR59" s="1194">
        <f>4328+1800+1800+1900</f>
        <v>9828</v>
      </c>
      <c r="CS59" s="1194">
        <v>1796</v>
      </c>
      <c r="CT59" s="1087">
        <f t="shared" si="56"/>
        <v>11624</v>
      </c>
      <c r="CV59" s="1090" t="s">
        <v>465</v>
      </c>
      <c r="CW59" s="1088"/>
      <c r="CX59" s="1194"/>
      <c r="CY59" s="1194"/>
      <c r="CZ59" s="1194"/>
      <c r="DA59" s="1194">
        <f>4328+1800+1800+1900-14</f>
        <v>9814</v>
      </c>
      <c r="DB59" s="1194">
        <v>1796</v>
      </c>
      <c r="DC59" s="1087">
        <f t="shared" si="73"/>
        <v>11610</v>
      </c>
      <c r="DE59" s="1089" t="s">
        <v>465</v>
      </c>
      <c r="DF59" s="1088"/>
      <c r="DG59" s="1194"/>
      <c r="DH59" s="1194"/>
      <c r="DI59" s="1194"/>
      <c r="DJ59" s="1194">
        <f>9828-14</f>
        <v>9814</v>
      </c>
      <c r="DK59" s="1194">
        <v>1796</v>
      </c>
      <c r="DL59" s="1087">
        <f t="shared" si="74"/>
        <v>11610</v>
      </c>
      <c r="DN59" s="1089" t="s">
        <v>465</v>
      </c>
      <c r="DO59" s="1088"/>
      <c r="DP59" s="1194"/>
      <c r="DQ59" s="1194"/>
      <c r="DR59" s="1194"/>
      <c r="DS59" s="1194">
        <f>9828-14</f>
        <v>9814</v>
      </c>
      <c r="DT59" s="1194">
        <v>1796</v>
      </c>
      <c r="DU59" s="1087">
        <f t="shared" si="75"/>
        <v>11610</v>
      </c>
      <c r="DW59" s="1089" t="s">
        <v>464</v>
      </c>
      <c r="DX59" s="1088"/>
      <c r="DY59" s="1194"/>
      <c r="DZ59" s="1194"/>
      <c r="EA59" s="1194"/>
      <c r="EB59" s="1194">
        <v>9096</v>
      </c>
      <c r="EC59" s="1197">
        <v>0</v>
      </c>
      <c r="ED59" s="1087">
        <f t="shared" si="57"/>
        <v>9096</v>
      </c>
      <c r="EF59" s="1089" t="s">
        <v>464</v>
      </c>
      <c r="EG59" s="1088"/>
      <c r="EH59" s="1194"/>
      <c r="EI59" s="1194"/>
      <c r="EJ59" s="1194"/>
      <c r="EK59" s="1194">
        <v>9096</v>
      </c>
      <c r="EL59" s="1194">
        <v>0</v>
      </c>
      <c r="EM59" s="1087">
        <f t="shared" si="76"/>
        <v>9096</v>
      </c>
      <c r="EO59" s="1079" t="s">
        <v>463</v>
      </c>
      <c r="EP59" s="1088"/>
      <c r="EQ59" s="1194"/>
      <c r="ER59" s="1194"/>
      <c r="ES59" s="1194"/>
      <c r="ET59" s="1194">
        <f>9382-34</f>
        <v>9348</v>
      </c>
      <c r="EU59" s="1197">
        <v>2200</v>
      </c>
      <c r="EV59" s="1087">
        <f t="shared" si="58"/>
        <v>11548</v>
      </c>
      <c r="EX59" s="1079" t="s">
        <v>463</v>
      </c>
      <c r="EY59" s="1088"/>
      <c r="EZ59" s="1194"/>
      <c r="FA59" s="1194"/>
      <c r="FB59" s="1194"/>
      <c r="FC59" s="1194">
        <f>9382-34</f>
        <v>9348</v>
      </c>
      <c r="FD59" s="1197">
        <v>2200</v>
      </c>
      <c r="FE59" s="1087">
        <f t="shared" si="59"/>
        <v>11548</v>
      </c>
      <c r="FG59" s="1079" t="s">
        <v>463</v>
      </c>
      <c r="FH59" s="1088"/>
      <c r="FI59" s="1194"/>
      <c r="FJ59" s="1194"/>
      <c r="FK59" s="1194"/>
      <c r="FL59" s="1194">
        <f>9382-34</f>
        <v>9348</v>
      </c>
      <c r="FM59" s="1197">
        <v>2200</v>
      </c>
      <c r="FN59" s="1087">
        <f t="shared" si="60"/>
        <v>11548</v>
      </c>
      <c r="FP59" s="1079" t="s">
        <v>463</v>
      </c>
      <c r="FQ59" s="1088"/>
      <c r="FR59" s="1194"/>
      <c r="FS59" s="1194"/>
      <c r="FT59" s="1194"/>
      <c r="FU59" s="1194">
        <f>9382-23</f>
        <v>9359</v>
      </c>
      <c r="FV59" s="1197">
        <f>2200</f>
        <v>2200</v>
      </c>
      <c r="FW59" s="1087">
        <f t="shared" si="77"/>
        <v>11559</v>
      </c>
      <c r="FY59" s="1079" t="s">
        <v>462</v>
      </c>
      <c r="FZ59" s="1088"/>
      <c r="GA59" s="1194"/>
      <c r="GB59" s="1194"/>
      <c r="GC59" s="1194"/>
      <c r="GD59" s="1194">
        <f>11000-5</f>
        <v>10995</v>
      </c>
      <c r="GE59" s="1194">
        <v>1500</v>
      </c>
      <c r="GF59" s="1087">
        <f t="shared" si="61"/>
        <v>12495</v>
      </c>
      <c r="GH59" s="1079" t="s">
        <v>462</v>
      </c>
      <c r="GI59" s="1088"/>
      <c r="GJ59" s="1194"/>
      <c r="GK59" s="1194"/>
      <c r="GL59" s="1194"/>
      <c r="GM59" s="1194">
        <f>11000-5</f>
        <v>10995</v>
      </c>
      <c r="GN59" s="1194">
        <v>1500</v>
      </c>
      <c r="GO59" s="1087">
        <f t="shared" si="62"/>
        <v>12495</v>
      </c>
      <c r="GQ59" s="1079" t="s">
        <v>462</v>
      </c>
      <c r="GR59" s="1088"/>
      <c r="GS59" s="1194"/>
      <c r="GT59" s="1194"/>
      <c r="GU59" s="1194"/>
      <c r="GV59" s="1194">
        <f>11000-5</f>
        <v>10995</v>
      </c>
      <c r="GW59" s="1194">
        <v>1500</v>
      </c>
      <c r="GX59" s="1087">
        <f t="shared" si="63"/>
        <v>12495</v>
      </c>
      <c r="GZ59" s="1079" t="s">
        <v>462</v>
      </c>
      <c r="HA59" s="1088"/>
      <c r="HB59" s="1194"/>
      <c r="HC59" s="1194"/>
      <c r="HD59" s="1194"/>
      <c r="HE59" s="1194">
        <f>11000-5</f>
        <v>10995</v>
      </c>
      <c r="HF59" s="1194">
        <v>1500</v>
      </c>
      <c r="HG59" s="1087">
        <f t="shared" si="78"/>
        <v>12495</v>
      </c>
      <c r="HI59" s="1079" t="s">
        <v>462</v>
      </c>
      <c r="HJ59" s="1088"/>
      <c r="HK59" s="1194"/>
      <c r="HL59" s="1194"/>
      <c r="HM59" s="1194"/>
      <c r="HN59" s="1194">
        <f>11000-5</f>
        <v>10995</v>
      </c>
      <c r="HO59" s="1194">
        <v>1500</v>
      </c>
      <c r="HP59" s="1087">
        <f t="shared" si="79"/>
        <v>12495</v>
      </c>
      <c r="HR59" s="1079" t="s">
        <v>461</v>
      </c>
      <c r="HS59" s="1088"/>
      <c r="HT59" s="1194"/>
      <c r="HU59" s="1194"/>
      <c r="HV59" s="1194"/>
      <c r="HW59" s="1194">
        <f>6000</f>
        <v>6000</v>
      </c>
      <c r="HX59" s="1194">
        <v>600</v>
      </c>
      <c r="HY59" s="1087">
        <f t="shared" si="64"/>
        <v>6600</v>
      </c>
      <c r="IA59" s="1079" t="s">
        <v>461</v>
      </c>
      <c r="IB59" s="1088"/>
      <c r="IC59" s="1194"/>
      <c r="ID59" s="1194"/>
      <c r="IE59" s="1194"/>
      <c r="IF59" s="1194">
        <f>6000</f>
        <v>6000</v>
      </c>
      <c r="IG59" s="1194">
        <v>600</v>
      </c>
      <c r="IH59" s="1087">
        <f t="shared" si="65"/>
        <v>6600</v>
      </c>
      <c r="IJ59" s="1079" t="s">
        <v>461</v>
      </c>
      <c r="IK59" s="1088"/>
      <c r="IL59" s="1194"/>
      <c r="IM59" s="1194"/>
      <c r="IN59" s="1194"/>
      <c r="IO59" s="1194">
        <f>6000</f>
        <v>6000</v>
      </c>
      <c r="IP59" s="1194">
        <v>600</v>
      </c>
      <c r="IQ59" s="1087">
        <f t="shared" si="80"/>
        <v>6600</v>
      </c>
    </row>
    <row r="60" spans="2:251" ht="15.5" hidden="1" x14ac:dyDescent="0.35">
      <c r="B60" s="1058" t="s">
        <v>858</v>
      </c>
      <c r="C60" s="1085"/>
      <c r="D60" s="1061"/>
      <c r="E60" s="1060"/>
      <c r="F60" s="1060"/>
      <c r="G60" s="1060">
        <v>9041</v>
      </c>
      <c r="H60" s="1061">
        <v>621</v>
      </c>
      <c r="I60" s="1059">
        <f t="shared" si="66"/>
        <v>9662</v>
      </c>
      <c r="K60" s="1058" t="s">
        <v>858</v>
      </c>
      <c r="L60" s="1085"/>
      <c r="M60" s="1061"/>
      <c r="N60" s="1060"/>
      <c r="O60" s="1060"/>
      <c r="P60" s="1060">
        <v>9041</v>
      </c>
      <c r="Q60" s="1061">
        <v>621</v>
      </c>
      <c r="R60" s="1059">
        <f t="shared" si="67"/>
        <v>9662</v>
      </c>
      <c r="T60" s="1058" t="s">
        <v>858</v>
      </c>
      <c r="U60" s="1085"/>
      <c r="V60" s="1061"/>
      <c r="W60" s="1060"/>
      <c r="X60" s="1060"/>
      <c r="Y60" s="1060">
        <v>9041</v>
      </c>
      <c r="Z60" s="1061">
        <v>621</v>
      </c>
      <c r="AA60" s="1059">
        <f t="shared" si="68"/>
        <v>9662</v>
      </c>
      <c r="AC60" s="1058" t="s">
        <v>466</v>
      </c>
      <c r="AD60" s="1086"/>
      <c r="AE60" s="1061"/>
      <c r="AF60" s="1060"/>
      <c r="AG60" s="1060"/>
      <c r="AH60" s="1060">
        <f>2493+1400+1400+2000</f>
        <v>7293</v>
      </c>
      <c r="AI60" s="1060">
        <v>1000</v>
      </c>
      <c r="AJ60" s="1059">
        <f t="shared" si="69"/>
        <v>8293</v>
      </c>
      <c r="AL60" s="1058" t="s">
        <v>466</v>
      </c>
      <c r="AM60" s="1086"/>
      <c r="AN60" s="1061"/>
      <c r="AO60" s="1060"/>
      <c r="AP60" s="1060"/>
      <c r="AQ60" s="1060">
        <f>2493+1400+1400+2000</f>
        <v>7293</v>
      </c>
      <c r="AR60" s="1060">
        <v>1000</v>
      </c>
      <c r="AS60" s="1059">
        <f t="shared" si="70"/>
        <v>8293</v>
      </c>
      <c r="AU60" s="1058" t="s">
        <v>466</v>
      </c>
      <c r="AV60" s="1086"/>
      <c r="AW60" s="1061"/>
      <c r="AX60" s="1060"/>
      <c r="AY60" s="1060"/>
      <c r="AZ60" s="1060">
        <f>2493+1400+1400+2000</f>
        <v>7293</v>
      </c>
      <c r="BA60" s="1060">
        <v>1000</v>
      </c>
      <c r="BB60" s="1059">
        <f t="shared" si="71"/>
        <v>8293</v>
      </c>
      <c r="BD60" s="1058" t="s">
        <v>465</v>
      </c>
      <c r="BE60" s="1085"/>
      <c r="BF60" s="1061"/>
      <c r="BG60" s="1060"/>
      <c r="BH60" s="1060"/>
      <c r="BI60" s="1060">
        <f>4328+1800+1800+1900</f>
        <v>9828</v>
      </c>
      <c r="BJ60" s="1060">
        <v>1796</v>
      </c>
      <c r="BK60" s="1059">
        <f t="shared" si="53"/>
        <v>11624</v>
      </c>
      <c r="BL60" s="1058" t="s">
        <v>465</v>
      </c>
      <c r="BM60" s="1085"/>
      <c r="BN60" s="1061"/>
      <c r="BO60" s="1060"/>
      <c r="BP60" s="1060"/>
      <c r="BQ60" s="1060">
        <f>4328+1800+1800+1900</f>
        <v>9828</v>
      </c>
      <c r="BR60" s="1060">
        <v>1796</v>
      </c>
      <c r="BS60" s="1059">
        <f t="shared" si="72"/>
        <v>11624</v>
      </c>
      <c r="BU60" s="1058" t="s">
        <v>464</v>
      </c>
      <c r="BV60" s="1085"/>
      <c r="BW60" s="1060"/>
      <c r="BX60" s="1060"/>
      <c r="BY60" s="1060"/>
      <c r="BZ60" s="1060">
        <f>3596+2000+2000+1500</f>
        <v>9096</v>
      </c>
      <c r="CA60" s="1116">
        <v>0</v>
      </c>
      <c r="CB60" s="1059">
        <f t="shared" si="54"/>
        <v>9096</v>
      </c>
      <c r="CD60" s="1058" t="s">
        <v>464</v>
      </c>
      <c r="CE60" s="1085"/>
      <c r="CF60" s="1060"/>
      <c r="CG60" s="1060"/>
      <c r="CH60" s="1060"/>
      <c r="CI60" s="1060">
        <f>3596+2000+2000+1500</f>
        <v>9096</v>
      </c>
      <c r="CJ60" s="1116">
        <v>0</v>
      </c>
      <c r="CK60" s="1059">
        <f t="shared" si="55"/>
        <v>9096</v>
      </c>
      <c r="CM60" s="1091" t="s">
        <v>464</v>
      </c>
      <c r="CN60" s="1088"/>
      <c r="CO60" s="1194"/>
      <c r="CP60" s="1194"/>
      <c r="CQ60" s="1194"/>
      <c r="CR60" s="1194">
        <f>3596+2000+2000+1500</f>
        <v>9096</v>
      </c>
      <c r="CS60" s="1197">
        <v>0</v>
      </c>
      <c r="CT60" s="1087">
        <f t="shared" si="56"/>
        <v>9096</v>
      </c>
      <c r="CV60" s="1090" t="s">
        <v>464</v>
      </c>
      <c r="CW60" s="1088"/>
      <c r="CX60" s="1194"/>
      <c r="CY60" s="1194"/>
      <c r="CZ60" s="1194"/>
      <c r="DA60" s="1194">
        <f>3596+2000+2000+1500</f>
        <v>9096</v>
      </c>
      <c r="DB60" s="1197">
        <v>0</v>
      </c>
      <c r="DC60" s="1087">
        <f t="shared" si="73"/>
        <v>9096</v>
      </c>
      <c r="DE60" s="1089" t="s">
        <v>464</v>
      </c>
      <c r="DF60" s="1088"/>
      <c r="DG60" s="1194"/>
      <c r="DH60" s="1194"/>
      <c r="DI60" s="1194"/>
      <c r="DJ60" s="1194">
        <v>9096</v>
      </c>
      <c r="DK60" s="1197">
        <v>0</v>
      </c>
      <c r="DL60" s="1087">
        <f t="shared" si="74"/>
        <v>9096</v>
      </c>
      <c r="DN60" s="1089" t="s">
        <v>464</v>
      </c>
      <c r="DO60" s="1088"/>
      <c r="DP60" s="1194"/>
      <c r="DQ60" s="1194"/>
      <c r="DR60" s="1194"/>
      <c r="DS60" s="1194">
        <v>9096</v>
      </c>
      <c r="DT60" s="1197">
        <v>0</v>
      </c>
      <c r="DU60" s="1087">
        <f t="shared" si="75"/>
        <v>9096</v>
      </c>
      <c r="DW60" s="1079" t="s">
        <v>463</v>
      </c>
      <c r="DX60" s="1088"/>
      <c r="DY60" s="1194"/>
      <c r="DZ60" s="1194"/>
      <c r="EA60" s="1194"/>
      <c r="EB60" s="1194">
        <f>9382+2000-32-1</f>
        <v>11349</v>
      </c>
      <c r="EC60" s="1194">
        <v>2200</v>
      </c>
      <c r="ED60" s="1087">
        <f t="shared" si="57"/>
        <v>13549</v>
      </c>
      <c r="EF60" s="1079" t="s">
        <v>463</v>
      </c>
      <c r="EG60" s="1088"/>
      <c r="EH60" s="1194"/>
      <c r="EI60" s="1194"/>
      <c r="EJ60" s="1194"/>
      <c r="EK60" s="1194">
        <f>9382-34</f>
        <v>9348</v>
      </c>
      <c r="EL60" s="1197">
        <v>2200</v>
      </c>
      <c r="EM60" s="1087">
        <f t="shared" si="76"/>
        <v>11548</v>
      </c>
      <c r="EO60" s="1079" t="s">
        <v>462</v>
      </c>
      <c r="EP60" s="1088"/>
      <c r="EQ60" s="1194"/>
      <c r="ER60" s="1194"/>
      <c r="ES60" s="1194"/>
      <c r="ET60" s="1194">
        <f>11000-5</f>
        <v>10995</v>
      </c>
      <c r="EU60" s="1194">
        <v>1500</v>
      </c>
      <c r="EV60" s="1087">
        <f t="shared" si="58"/>
        <v>12495</v>
      </c>
      <c r="EX60" s="1079" t="s">
        <v>462</v>
      </c>
      <c r="EY60" s="1088"/>
      <c r="EZ60" s="1194"/>
      <c r="FA60" s="1194"/>
      <c r="FB60" s="1194"/>
      <c r="FC60" s="1194">
        <f>13000-5</f>
        <v>12995</v>
      </c>
      <c r="FD60" s="1194">
        <v>1500</v>
      </c>
      <c r="FE60" s="1087">
        <f t="shared" si="59"/>
        <v>14495</v>
      </c>
      <c r="FG60" s="1079" t="s">
        <v>462</v>
      </c>
      <c r="FH60" s="1088"/>
      <c r="FI60" s="1194"/>
      <c r="FJ60" s="1194"/>
      <c r="FK60" s="1194"/>
      <c r="FL60" s="1194">
        <f>11000-5</f>
        <v>10995</v>
      </c>
      <c r="FM60" s="1194">
        <v>1500</v>
      </c>
      <c r="FN60" s="1087">
        <f t="shared" si="60"/>
        <v>12495</v>
      </c>
      <c r="FP60" s="1079" t="s">
        <v>462</v>
      </c>
      <c r="FQ60" s="1088"/>
      <c r="FR60" s="1194"/>
      <c r="FS60" s="1194"/>
      <c r="FT60" s="1194"/>
      <c r="FU60" s="1194">
        <f>11000-5</f>
        <v>10995</v>
      </c>
      <c r="FV60" s="1194">
        <v>1500</v>
      </c>
      <c r="FW60" s="1087">
        <f t="shared" si="77"/>
        <v>12495</v>
      </c>
      <c r="FY60" s="1079" t="s">
        <v>461</v>
      </c>
      <c r="FZ60" s="1088"/>
      <c r="GA60" s="1194"/>
      <c r="GB60" s="1194"/>
      <c r="GC60" s="1194"/>
      <c r="GD60" s="1194">
        <f>6000</f>
        <v>6000</v>
      </c>
      <c r="GE60" s="1194">
        <v>600</v>
      </c>
      <c r="GF60" s="1087">
        <f t="shared" si="61"/>
        <v>6600</v>
      </c>
      <c r="GH60" s="1079" t="s">
        <v>461</v>
      </c>
      <c r="GI60" s="1088"/>
      <c r="GJ60" s="1194"/>
      <c r="GK60" s="1194"/>
      <c r="GL60" s="1194"/>
      <c r="GM60" s="1194">
        <f>6000</f>
        <v>6000</v>
      </c>
      <c r="GN60" s="1194">
        <v>600</v>
      </c>
      <c r="GO60" s="1087">
        <f t="shared" si="62"/>
        <v>6600</v>
      </c>
      <c r="GQ60" s="1079" t="s">
        <v>461</v>
      </c>
      <c r="GR60" s="1088"/>
      <c r="GS60" s="1194"/>
      <c r="GT60" s="1194"/>
      <c r="GU60" s="1194"/>
      <c r="GV60" s="1194">
        <f>6000</f>
        <v>6000</v>
      </c>
      <c r="GW60" s="1194">
        <v>600</v>
      </c>
      <c r="GX60" s="1087">
        <f t="shared" si="63"/>
        <v>6600</v>
      </c>
      <c r="GZ60" s="1079" t="s">
        <v>461</v>
      </c>
      <c r="HA60" s="1088"/>
      <c r="HB60" s="1194"/>
      <c r="HC60" s="1194"/>
      <c r="HD60" s="1194"/>
      <c r="HE60" s="1194">
        <f>6000</f>
        <v>6000</v>
      </c>
      <c r="HF60" s="1194">
        <v>600</v>
      </c>
      <c r="HG60" s="1087">
        <f t="shared" si="78"/>
        <v>6600</v>
      </c>
      <c r="HI60" s="1079" t="s">
        <v>461</v>
      </c>
      <c r="HJ60" s="1088"/>
      <c r="HK60" s="1194"/>
      <c r="HL60" s="1194"/>
      <c r="HM60" s="1194"/>
      <c r="HN60" s="1194">
        <f>6000</f>
        <v>6000</v>
      </c>
      <c r="HO60" s="1194">
        <v>600</v>
      </c>
      <c r="HP60" s="1087">
        <f t="shared" si="79"/>
        <v>6600</v>
      </c>
      <c r="HR60" s="1079" t="s">
        <v>460</v>
      </c>
      <c r="HS60" s="1088"/>
      <c r="HT60" s="1194"/>
      <c r="HU60" s="1194"/>
      <c r="HV60" s="1194"/>
      <c r="HW60" s="1194">
        <f>8400-9</f>
        <v>8391</v>
      </c>
      <c r="HX60" s="1194">
        <f>1200-2</f>
        <v>1198</v>
      </c>
      <c r="HY60" s="1087">
        <f t="shared" si="64"/>
        <v>9589</v>
      </c>
      <c r="IA60" s="1079" t="s">
        <v>460</v>
      </c>
      <c r="IB60" s="1088"/>
      <c r="IC60" s="1194"/>
      <c r="ID60" s="1194"/>
      <c r="IE60" s="1194"/>
      <c r="IF60" s="1194">
        <f>8400-9</f>
        <v>8391</v>
      </c>
      <c r="IG60" s="1194">
        <f>1200-2</f>
        <v>1198</v>
      </c>
      <c r="IH60" s="1087">
        <f t="shared" si="65"/>
        <v>9589</v>
      </c>
      <c r="IJ60" s="1079" t="s">
        <v>460</v>
      </c>
      <c r="IK60" s="1088"/>
      <c r="IL60" s="1194"/>
      <c r="IM60" s="1194"/>
      <c r="IN60" s="1194"/>
      <c r="IO60" s="1194">
        <f>8400-12-1</f>
        <v>8387</v>
      </c>
      <c r="IP60" s="1194">
        <f>1200-2</f>
        <v>1198</v>
      </c>
      <c r="IQ60" s="1087">
        <f t="shared" si="80"/>
        <v>9585</v>
      </c>
    </row>
    <row r="61" spans="2:251" ht="15.5" hidden="1" x14ac:dyDescent="0.35">
      <c r="B61" s="1058" t="s">
        <v>466</v>
      </c>
      <c r="C61" s="1086"/>
      <c r="D61" s="1061"/>
      <c r="E61" s="1060"/>
      <c r="F61" s="1060"/>
      <c r="G61" s="1060">
        <f>2493+1400+1400+2000</f>
        <v>7293</v>
      </c>
      <c r="H61" s="1060">
        <v>1000</v>
      </c>
      <c r="I61" s="1059">
        <f t="shared" si="66"/>
        <v>8293</v>
      </c>
      <c r="K61" s="1058" t="s">
        <v>466</v>
      </c>
      <c r="L61" s="1086"/>
      <c r="M61" s="1061"/>
      <c r="N61" s="1060"/>
      <c r="O61" s="1060"/>
      <c r="P61" s="1060">
        <f>2493+1400+1400+2000</f>
        <v>7293</v>
      </c>
      <c r="Q61" s="1060">
        <v>1000</v>
      </c>
      <c r="R61" s="1059">
        <f t="shared" si="67"/>
        <v>8293</v>
      </c>
      <c r="T61" s="1058" t="s">
        <v>466</v>
      </c>
      <c r="U61" s="1086"/>
      <c r="V61" s="1061"/>
      <c r="W61" s="1060"/>
      <c r="X61" s="1060"/>
      <c r="Y61" s="1060">
        <f>2493+1400+1400+2000</f>
        <v>7293</v>
      </c>
      <c r="Z61" s="1060">
        <v>1000</v>
      </c>
      <c r="AA61" s="1059">
        <f t="shared" si="68"/>
        <v>8293</v>
      </c>
      <c r="AC61" s="1058" t="s">
        <v>465</v>
      </c>
      <c r="AD61" s="1085"/>
      <c r="AE61" s="1061"/>
      <c r="AF61" s="1060"/>
      <c r="AG61" s="1060"/>
      <c r="AH61" s="1060">
        <f>4328+1800+1800+1900</f>
        <v>9828</v>
      </c>
      <c r="AI61" s="1060">
        <v>1796</v>
      </c>
      <c r="AJ61" s="1059">
        <f t="shared" si="69"/>
        <v>11624</v>
      </c>
      <c r="AL61" s="1058" t="s">
        <v>465</v>
      </c>
      <c r="AM61" s="1085"/>
      <c r="AN61" s="1061"/>
      <c r="AO61" s="1060"/>
      <c r="AP61" s="1060"/>
      <c r="AQ61" s="1060">
        <f>4328+1800+1800+1900</f>
        <v>9828</v>
      </c>
      <c r="AR61" s="1060">
        <v>1796</v>
      </c>
      <c r="AS61" s="1059">
        <f t="shared" si="70"/>
        <v>11624</v>
      </c>
      <c r="AU61" s="1058" t="s">
        <v>465</v>
      </c>
      <c r="AV61" s="1085"/>
      <c r="AW61" s="1061"/>
      <c r="AX61" s="1060"/>
      <c r="AY61" s="1060"/>
      <c r="AZ61" s="1060">
        <f>4328+1800+1800+1900</f>
        <v>9828</v>
      </c>
      <c r="BA61" s="1060">
        <v>1796</v>
      </c>
      <c r="BB61" s="1059">
        <f t="shared" si="71"/>
        <v>11624</v>
      </c>
      <c r="BD61" s="1058" t="s">
        <v>464</v>
      </c>
      <c r="BE61" s="1085"/>
      <c r="BF61" s="1061"/>
      <c r="BG61" s="1060"/>
      <c r="BH61" s="1060"/>
      <c r="BI61" s="1060">
        <f>3596+2000+2000</f>
        <v>7596</v>
      </c>
      <c r="BJ61" s="1116">
        <v>0</v>
      </c>
      <c r="BK61" s="1059">
        <f t="shared" si="53"/>
        <v>7596</v>
      </c>
      <c r="BL61" s="1058" t="s">
        <v>464</v>
      </c>
      <c r="BM61" s="1085"/>
      <c r="BN61" s="1061"/>
      <c r="BO61" s="1060"/>
      <c r="BP61" s="1060"/>
      <c r="BQ61" s="1060">
        <f>3596+2000+2000+1500</f>
        <v>9096</v>
      </c>
      <c r="BR61" s="1116">
        <v>0</v>
      </c>
      <c r="BS61" s="1059">
        <f t="shared" si="72"/>
        <v>9096</v>
      </c>
      <c r="BU61" s="1067" t="s">
        <v>463</v>
      </c>
      <c r="BV61" s="1085"/>
      <c r="BW61" s="1060"/>
      <c r="BX61" s="1060"/>
      <c r="BY61" s="1060"/>
      <c r="BZ61" s="1060">
        <f>5882+1500</f>
        <v>7382</v>
      </c>
      <c r="CA61" s="1060">
        <v>2200</v>
      </c>
      <c r="CB61" s="1059">
        <f t="shared" si="54"/>
        <v>9582</v>
      </c>
      <c r="CD61" s="1067" t="s">
        <v>463</v>
      </c>
      <c r="CE61" s="1085"/>
      <c r="CF61" s="1060"/>
      <c r="CG61" s="1060"/>
      <c r="CH61" s="1060"/>
      <c r="CI61" s="1060">
        <f>5882+1500</f>
        <v>7382</v>
      </c>
      <c r="CJ61" s="1060">
        <v>2200</v>
      </c>
      <c r="CK61" s="1059">
        <f t="shared" si="55"/>
        <v>9582</v>
      </c>
      <c r="CM61" s="1081" t="s">
        <v>463</v>
      </c>
      <c r="CN61" s="1088"/>
      <c r="CO61" s="1194"/>
      <c r="CP61" s="1194"/>
      <c r="CQ61" s="1194"/>
      <c r="CR61" s="1194">
        <f>5882+1500+2000</f>
        <v>9382</v>
      </c>
      <c r="CS61" s="1194">
        <v>2200</v>
      </c>
      <c r="CT61" s="1087">
        <f t="shared" si="56"/>
        <v>11582</v>
      </c>
      <c r="CV61" s="1080" t="s">
        <v>463</v>
      </c>
      <c r="CW61" s="1088"/>
      <c r="CX61" s="1194"/>
      <c r="CY61" s="1194"/>
      <c r="CZ61" s="1194"/>
      <c r="DA61" s="1194">
        <f>5882+1500+2000-35</f>
        <v>9347</v>
      </c>
      <c r="DB61" s="1194">
        <v>2200</v>
      </c>
      <c r="DC61" s="1087">
        <f t="shared" si="73"/>
        <v>11547</v>
      </c>
      <c r="DE61" s="1079" t="s">
        <v>463</v>
      </c>
      <c r="DF61" s="1088"/>
      <c r="DG61" s="1194"/>
      <c r="DH61" s="1194"/>
      <c r="DI61" s="1194"/>
      <c r="DJ61" s="1194">
        <f>9382-35</f>
        <v>9347</v>
      </c>
      <c r="DK61" s="1194">
        <v>2200</v>
      </c>
      <c r="DL61" s="1087">
        <f t="shared" si="74"/>
        <v>11547</v>
      </c>
      <c r="DN61" s="1079" t="s">
        <v>463</v>
      </c>
      <c r="DO61" s="1088"/>
      <c r="DP61" s="1194"/>
      <c r="DQ61" s="1194"/>
      <c r="DR61" s="1194"/>
      <c r="DS61" s="1194">
        <f>9382+2000-32-2</f>
        <v>11348</v>
      </c>
      <c r="DT61" s="1194">
        <v>2200</v>
      </c>
      <c r="DU61" s="1087">
        <f t="shared" si="75"/>
        <v>13548</v>
      </c>
      <c r="DW61" s="1079" t="s">
        <v>462</v>
      </c>
      <c r="DX61" s="1088"/>
      <c r="DY61" s="1194"/>
      <c r="DZ61" s="1194"/>
      <c r="EA61" s="1194"/>
      <c r="EB61" s="1194">
        <f>4500-5+2000</f>
        <v>6495</v>
      </c>
      <c r="EC61" s="1194">
        <v>1500</v>
      </c>
      <c r="ED61" s="1087">
        <f t="shared" si="57"/>
        <v>7995</v>
      </c>
      <c r="EF61" s="1079" t="s">
        <v>462</v>
      </c>
      <c r="EG61" s="1088"/>
      <c r="EH61" s="1194"/>
      <c r="EI61" s="1194"/>
      <c r="EJ61" s="1194"/>
      <c r="EK61" s="1194">
        <f>11000-5</f>
        <v>10995</v>
      </c>
      <c r="EL61" s="1194">
        <v>1500</v>
      </c>
      <c r="EM61" s="1087">
        <f t="shared" si="76"/>
        <v>12495</v>
      </c>
      <c r="EO61" s="1079" t="s">
        <v>461</v>
      </c>
      <c r="EP61" s="1088"/>
      <c r="EQ61" s="1194"/>
      <c r="ER61" s="1194"/>
      <c r="ES61" s="1194"/>
      <c r="ET61" s="1194">
        <v>1500</v>
      </c>
      <c r="EU61" s="1194">
        <v>600</v>
      </c>
      <c r="EV61" s="1087">
        <f t="shared" si="58"/>
        <v>2100</v>
      </c>
      <c r="EX61" s="1079" t="s">
        <v>461</v>
      </c>
      <c r="EY61" s="1088"/>
      <c r="EZ61" s="1194"/>
      <c r="FA61" s="1194"/>
      <c r="FB61" s="1194"/>
      <c r="FC61" s="1194">
        <v>1500</v>
      </c>
      <c r="FD61" s="1194">
        <v>600</v>
      </c>
      <c r="FE61" s="1087">
        <f t="shared" si="59"/>
        <v>2100</v>
      </c>
      <c r="FG61" s="1079" t="s">
        <v>461</v>
      </c>
      <c r="FH61" s="1088"/>
      <c r="FI61" s="1194"/>
      <c r="FJ61" s="1194"/>
      <c r="FK61" s="1194"/>
      <c r="FL61" s="1194">
        <v>3500</v>
      </c>
      <c r="FM61" s="1194">
        <v>600</v>
      </c>
      <c r="FN61" s="1087">
        <f t="shared" si="60"/>
        <v>4100</v>
      </c>
      <c r="FP61" s="1079" t="s">
        <v>461</v>
      </c>
      <c r="FQ61" s="1088"/>
      <c r="FR61" s="1194"/>
      <c r="FS61" s="1194"/>
      <c r="FT61" s="1194"/>
      <c r="FU61" s="1194">
        <f>6000</f>
        <v>6000</v>
      </c>
      <c r="FV61" s="1194">
        <v>600</v>
      </c>
      <c r="FW61" s="1087">
        <f t="shared" si="77"/>
        <v>6600</v>
      </c>
      <c r="FY61" s="1079" t="s">
        <v>460</v>
      </c>
      <c r="FZ61" s="1088"/>
      <c r="GA61" s="1194"/>
      <c r="GB61" s="1194"/>
      <c r="GC61" s="1194"/>
      <c r="GD61" s="1194">
        <f>3800-2</f>
        <v>3798</v>
      </c>
      <c r="GE61" s="1194">
        <f>1200-2</f>
        <v>1198</v>
      </c>
      <c r="GF61" s="1087">
        <f t="shared" si="61"/>
        <v>4996</v>
      </c>
      <c r="GH61" s="1079" t="s">
        <v>460</v>
      </c>
      <c r="GI61" s="1088"/>
      <c r="GJ61" s="1194"/>
      <c r="GK61" s="1194"/>
      <c r="GL61" s="1194"/>
      <c r="GM61" s="1194">
        <f>3800-2+2300</f>
        <v>6098</v>
      </c>
      <c r="GN61" s="1194">
        <f>1200-2</f>
        <v>1198</v>
      </c>
      <c r="GO61" s="1087">
        <f t="shared" si="62"/>
        <v>7296</v>
      </c>
      <c r="GQ61" s="1079" t="s">
        <v>460</v>
      </c>
      <c r="GR61" s="1088"/>
      <c r="GS61" s="1194"/>
      <c r="GT61" s="1194"/>
      <c r="GU61" s="1194"/>
      <c r="GV61" s="1194">
        <f>3800-2+2300</f>
        <v>6098</v>
      </c>
      <c r="GW61" s="1194">
        <f>1200-2</f>
        <v>1198</v>
      </c>
      <c r="GX61" s="1087">
        <f t="shared" si="63"/>
        <v>7296</v>
      </c>
      <c r="GZ61" s="1079" t="s">
        <v>460</v>
      </c>
      <c r="HA61" s="1088"/>
      <c r="HB61" s="1194"/>
      <c r="HC61" s="1194"/>
      <c r="HD61" s="1194"/>
      <c r="HE61" s="1194">
        <f>8400-9</f>
        <v>8391</v>
      </c>
      <c r="HF61" s="1194">
        <f>1200-2</f>
        <v>1198</v>
      </c>
      <c r="HG61" s="1087">
        <f t="shared" si="78"/>
        <v>9589</v>
      </c>
      <c r="HI61" s="1079" t="s">
        <v>460</v>
      </c>
      <c r="HJ61" s="1088"/>
      <c r="HK61" s="1194"/>
      <c r="HL61" s="1194"/>
      <c r="HM61" s="1194"/>
      <c r="HN61" s="1194">
        <f>8400-10</f>
        <v>8390</v>
      </c>
      <c r="HO61" s="1194">
        <f>1200-2</f>
        <v>1198</v>
      </c>
      <c r="HP61" s="1087">
        <f t="shared" si="79"/>
        <v>9588</v>
      </c>
      <c r="HR61" s="1079" t="s">
        <v>459</v>
      </c>
      <c r="HS61" s="1088"/>
      <c r="HT61" s="1194"/>
      <c r="HU61" s="1194"/>
      <c r="HV61" s="1194"/>
      <c r="HW61" s="1194">
        <f>1800+2300</f>
        <v>4100</v>
      </c>
      <c r="HX61" s="1194">
        <v>600</v>
      </c>
      <c r="HY61" s="1087">
        <f t="shared" si="64"/>
        <v>4700</v>
      </c>
      <c r="IA61" s="1079" t="s">
        <v>459</v>
      </c>
      <c r="IB61" s="1088"/>
      <c r="IC61" s="1194"/>
      <c r="ID61" s="1194"/>
      <c r="IE61" s="1194"/>
      <c r="IF61" s="1194">
        <f>1800+2300</f>
        <v>4100</v>
      </c>
      <c r="IG61" s="1194">
        <v>600</v>
      </c>
      <c r="IH61" s="1087">
        <f t="shared" si="65"/>
        <v>4700</v>
      </c>
      <c r="IJ61" s="1079" t="s">
        <v>459</v>
      </c>
      <c r="IK61" s="1088"/>
      <c r="IL61" s="1194"/>
      <c r="IM61" s="1194"/>
      <c r="IN61" s="1194"/>
      <c r="IO61" s="1194">
        <v>8090</v>
      </c>
      <c r="IP61" s="1194">
        <v>600</v>
      </c>
      <c r="IQ61" s="1087">
        <f t="shared" si="80"/>
        <v>8690</v>
      </c>
    </row>
    <row r="62" spans="2:251" ht="15.5" hidden="1" x14ac:dyDescent="0.35">
      <c r="B62" s="1058" t="s">
        <v>465</v>
      </c>
      <c r="C62" s="1085"/>
      <c r="D62" s="1061"/>
      <c r="E62" s="1060"/>
      <c r="F62" s="1060"/>
      <c r="G62" s="1060">
        <f>4328+1800</f>
        <v>6128</v>
      </c>
      <c r="H62" s="1060">
        <v>1796</v>
      </c>
      <c r="I62" s="1059">
        <f t="shared" si="66"/>
        <v>7924</v>
      </c>
      <c r="K62" s="1058" t="s">
        <v>465</v>
      </c>
      <c r="L62" s="1085"/>
      <c r="M62" s="1061"/>
      <c r="N62" s="1060"/>
      <c r="O62" s="1060"/>
      <c r="P62" s="1060">
        <f>4328+1800+1800</f>
        <v>7928</v>
      </c>
      <c r="Q62" s="1060">
        <v>1796</v>
      </c>
      <c r="R62" s="1059">
        <f t="shared" si="67"/>
        <v>9724</v>
      </c>
      <c r="T62" s="1058" t="s">
        <v>465</v>
      </c>
      <c r="U62" s="1085"/>
      <c r="V62" s="1061"/>
      <c r="W62" s="1060"/>
      <c r="X62" s="1060"/>
      <c r="Y62" s="1060">
        <f>4328+1800+1800+1900</f>
        <v>9828</v>
      </c>
      <c r="Z62" s="1060">
        <v>1796</v>
      </c>
      <c r="AA62" s="1059">
        <f t="shared" si="68"/>
        <v>11624</v>
      </c>
      <c r="AC62" s="1058" t="s">
        <v>464</v>
      </c>
      <c r="AD62" s="1085"/>
      <c r="AE62" s="1061"/>
      <c r="AF62" s="1060"/>
      <c r="AG62" s="1060"/>
      <c r="AH62" s="1060">
        <v>3596</v>
      </c>
      <c r="AI62" s="1196">
        <v>0</v>
      </c>
      <c r="AJ62" s="1059">
        <f t="shared" si="69"/>
        <v>3596</v>
      </c>
      <c r="AL62" s="1058" t="s">
        <v>464</v>
      </c>
      <c r="AM62" s="1085"/>
      <c r="AN62" s="1061"/>
      <c r="AO62" s="1060"/>
      <c r="AP62" s="1060"/>
      <c r="AQ62" s="1060">
        <f>3596+2000</f>
        <v>5596</v>
      </c>
      <c r="AR62" s="1116">
        <v>0</v>
      </c>
      <c r="AS62" s="1059">
        <f t="shared" si="70"/>
        <v>5596</v>
      </c>
      <c r="AU62" s="1058" t="s">
        <v>464</v>
      </c>
      <c r="AV62" s="1085"/>
      <c r="AW62" s="1061"/>
      <c r="AX62" s="1060"/>
      <c r="AY62" s="1060"/>
      <c r="AZ62" s="1060">
        <f>3596+2000+2000</f>
        <v>7596</v>
      </c>
      <c r="BA62" s="1116">
        <v>0</v>
      </c>
      <c r="BB62" s="1059">
        <f t="shared" si="71"/>
        <v>7596</v>
      </c>
      <c r="BD62" s="1067" t="s">
        <v>463</v>
      </c>
      <c r="BE62" s="1085"/>
      <c r="BF62" s="1060"/>
      <c r="BG62" s="1060"/>
      <c r="BH62" s="1060"/>
      <c r="BI62" s="1060">
        <v>5882</v>
      </c>
      <c r="BJ62" s="1060">
        <v>2200</v>
      </c>
      <c r="BK62" s="1059">
        <f t="shared" si="53"/>
        <v>8082</v>
      </c>
      <c r="BL62" s="1067" t="s">
        <v>463</v>
      </c>
      <c r="BM62" s="1085"/>
      <c r="BN62" s="1060"/>
      <c r="BO62" s="1060"/>
      <c r="BP62" s="1060"/>
      <c r="BQ62" s="1060">
        <v>5882</v>
      </c>
      <c r="BR62" s="1060">
        <v>2200</v>
      </c>
      <c r="BS62" s="1059">
        <f t="shared" si="72"/>
        <v>8082</v>
      </c>
      <c r="BU62" s="1067" t="s">
        <v>462</v>
      </c>
      <c r="BV62" s="1085"/>
      <c r="BW62" s="1060"/>
      <c r="BX62" s="1060"/>
      <c r="BY62" s="1060"/>
      <c r="BZ62" s="1060">
        <v>4500</v>
      </c>
      <c r="CA62" s="1060">
        <v>1500</v>
      </c>
      <c r="CB62" s="1059">
        <f t="shared" si="54"/>
        <v>6000</v>
      </c>
      <c r="CD62" s="1067" t="s">
        <v>462</v>
      </c>
      <c r="CE62" s="1085"/>
      <c r="CF62" s="1060"/>
      <c r="CG62" s="1060"/>
      <c r="CH62" s="1060"/>
      <c r="CI62" s="1060">
        <v>4500</v>
      </c>
      <c r="CJ62" s="1060">
        <v>1500</v>
      </c>
      <c r="CK62" s="1059">
        <f t="shared" si="55"/>
        <v>6000</v>
      </c>
      <c r="CM62" s="1081" t="s">
        <v>462</v>
      </c>
      <c r="CN62" s="1088"/>
      <c r="CO62" s="1194"/>
      <c r="CP62" s="1194"/>
      <c r="CQ62" s="1194"/>
      <c r="CR62" s="1194">
        <v>4500</v>
      </c>
      <c r="CS62" s="1194">
        <v>1500</v>
      </c>
      <c r="CT62" s="1087">
        <f t="shared" si="56"/>
        <v>6000</v>
      </c>
      <c r="CV62" s="1080" t="s">
        <v>462</v>
      </c>
      <c r="CW62" s="1088"/>
      <c r="CX62" s="1194"/>
      <c r="CY62" s="1194"/>
      <c r="CZ62" s="1194"/>
      <c r="DA62" s="1194">
        <f>4500-5</f>
        <v>4495</v>
      </c>
      <c r="DB62" s="1194">
        <v>1500</v>
      </c>
      <c r="DC62" s="1087">
        <f t="shared" si="73"/>
        <v>5995</v>
      </c>
      <c r="DE62" s="1079" t="s">
        <v>462</v>
      </c>
      <c r="DF62" s="1088"/>
      <c r="DG62" s="1194"/>
      <c r="DH62" s="1194"/>
      <c r="DI62" s="1194"/>
      <c r="DJ62" s="1194">
        <f>4500-5</f>
        <v>4495</v>
      </c>
      <c r="DK62" s="1194">
        <v>1500</v>
      </c>
      <c r="DL62" s="1087">
        <f t="shared" si="74"/>
        <v>5995</v>
      </c>
      <c r="DN62" s="1079" t="s">
        <v>462</v>
      </c>
      <c r="DO62" s="1088"/>
      <c r="DP62" s="1194"/>
      <c r="DQ62" s="1194"/>
      <c r="DR62" s="1194"/>
      <c r="DS62" s="1194">
        <f>4500-5</f>
        <v>4495</v>
      </c>
      <c r="DT62" s="1194">
        <v>1500</v>
      </c>
      <c r="DU62" s="1087">
        <f t="shared" si="75"/>
        <v>5995</v>
      </c>
      <c r="DW62" s="1079" t="s">
        <v>461</v>
      </c>
      <c r="DX62" s="1088"/>
      <c r="DY62" s="1194"/>
      <c r="DZ62" s="1194"/>
      <c r="EA62" s="1194"/>
      <c r="EB62" s="1194">
        <v>1500</v>
      </c>
      <c r="EC62" s="1194">
        <v>600</v>
      </c>
      <c r="ED62" s="1087">
        <f t="shared" si="57"/>
        <v>2100</v>
      </c>
      <c r="EF62" s="1079" t="s">
        <v>461</v>
      </c>
      <c r="EG62" s="1088"/>
      <c r="EH62" s="1194"/>
      <c r="EI62" s="1194"/>
      <c r="EJ62" s="1194"/>
      <c r="EK62" s="1194">
        <v>1500</v>
      </c>
      <c r="EL62" s="1194">
        <v>600</v>
      </c>
      <c r="EM62" s="1087">
        <f t="shared" si="76"/>
        <v>2100</v>
      </c>
      <c r="EO62" s="1079" t="s">
        <v>460</v>
      </c>
      <c r="EP62" s="1088"/>
      <c r="EQ62" s="1194"/>
      <c r="ER62" s="1194"/>
      <c r="ES62" s="1194"/>
      <c r="ET62" s="1194">
        <f>1500</f>
        <v>1500</v>
      </c>
      <c r="EU62" s="1194">
        <f>1200-2</f>
        <v>1198</v>
      </c>
      <c r="EV62" s="1087">
        <f t="shared" si="58"/>
        <v>2698</v>
      </c>
      <c r="EX62" s="1079" t="s">
        <v>460</v>
      </c>
      <c r="EY62" s="1088"/>
      <c r="EZ62" s="1194"/>
      <c r="FA62" s="1194"/>
      <c r="FB62" s="1194"/>
      <c r="FC62" s="1194">
        <f>1500</f>
        <v>1500</v>
      </c>
      <c r="FD62" s="1194">
        <f>1200-2</f>
        <v>1198</v>
      </c>
      <c r="FE62" s="1087">
        <f t="shared" si="59"/>
        <v>2698</v>
      </c>
      <c r="FG62" s="1079" t="s">
        <v>460</v>
      </c>
      <c r="FH62" s="1088"/>
      <c r="FI62" s="1194"/>
      <c r="FJ62" s="1194"/>
      <c r="FK62" s="1194"/>
      <c r="FL62" s="1194">
        <f>1500</f>
        <v>1500</v>
      </c>
      <c r="FM62" s="1194">
        <f>1200-2</f>
        <v>1198</v>
      </c>
      <c r="FN62" s="1087">
        <f t="shared" si="60"/>
        <v>2698</v>
      </c>
      <c r="FP62" s="1079" t="s">
        <v>460</v>
      </c>
      <c r="FQ62" s="1088"/>
      <c r="FR62" s="1194"/>
      <c r="FS62" s="1194"/>
      <c r="FT62" s="1194"/>
      <c r="FU62" s="1194">
        <f>1500-2</f>
        <v>1498</v>
      </c>
      <c r="FV62" s="1194">
        <f>1200-2</f>
        <v>1198</v>
      </c>
      <c r="FW62" s="1087">
        <f t="shared" si="77"/>
        <v>2696</v>
      </c>
      <c r="FY62" s="1079" t="s">
        <v>459</v>
      </c>
      <c r="FZ62" s="1088"/>
      <c r="GA62" s="1194"/>
      <c r="GB62" s="1194"/>
      <c r="GC62" s="1194"/>
      <c r="GD62" s="1194">
        <v>1800</v>
      </c>
      <c r="GE62" s="1194">
        <v>600</v>
      </c>
      <c r="GF62" s="1087">
        <f t="shared" si="61"/>
        <v>2400</v>
      </c>
      <c r="GH62" s="1079" t="s">
        <v>459</v>
      </c>
      <c r="GI62" s="1088"/>
      <c r="GJ62" s="1194"/>
      <c r="GK62" s="1194"/>
      <c r="GL62" s="1194"/>
      <c r="GM62" s="1194">
        <v>1800</v>
      </c>
      <c r="GN62" s="1194">
        <v>600</v>
      </c>
      <c r="GO62" s="1087">
        <f t="shared" si="62"/>
        <v>2400</v>
      </c>
      <c r="GQ62" s="1079" t="s">
        <v>459</v>
      </c>
      <c r="GR62" s="1088"/>
      <c r="GS62" s="1194"/>
      <c r="GT62" s="1194"/>
      <c r="GU62" s="1194"/>
      <c r="GV62" s="1194">
        <v>1800</v>
      </c>
      <c r="GW62" s="1194">
        <v>600</v>
      </c>
      <c r="GX62" s="1087">
        <f t="shared" si="63"/>
        <v>2400</v>
      </c>
      <c r="GZ62" s="1079" t="s">
        <v>459</v>
      </c>
      <c r="HA62" s="1088"/>
      <c r="HB62" s="1194"/>
      <c r="HC62" s="1194"/>
      <c r="HD62" s="1194"/>
      <c r="HE62" s="1194">
        <v>1800</v>
      </c>
      <c r="HF62" s="1194">
        <v>600</v>
      </c>
      <c r="HG62" s="1087">
        <f t="shared" si="78"/>
        <v>2400</v>
      </c>
      <c r="HI62" s="1079" t="s">
        <v>459</v>
      </c>
      <c r="HJ62" s="1088"/>
      <c r="HK62" s="1194"/>
      <c r="HL62" s="1194"/>
      <c r="HM62" s="1194"/>
      <c r="HN62" s="1194">
        <f>1800+2300</f>
        <v>4100</v>
      </c>
      <c r="HO62" s="1194">
        <v>600</v>
      </c>
      <c r="HP62" s="1087">
        <f t="shared" si="79"/>
        <v>4700</v>
      </c>
      <c r="HR62" s="1079" t="s">
        <v>458</v>
      </c>
      <c r="HS62" s="1088"/>
      <c r="HT62" s="1194"/>
      <c r="HU62" s="1194"/>
      <c r="HV62" s="1194"/>
      <c r="HW62" s="1194">
        <f>3000-15</f>
        <v>2985</v>
      </c>
      <c r="HX62" s="1194"/>
      <c r="HY62" s="1087">
        <f t="shared" si="64"/>
        <v>2985</v>
      </c>
      <c r="IA62" s="1079" t="s">
        <v>458</v>
      </c>
      <c r="IB62" s="1088"/>
      <c r="IC62" s="1194"/>
      <c r="ID62" s="1194"/>
      <c r="IE62" s="1194"/>
      <c r="IF62" s="1194">
        <f>3000-15</f>
        <v>2985</v>
      </c>
      <c r="IG62" s="1194"/>
      <c r="IH62" s="1087">
        <f t="shared" si="65"/>
        <v>2985</v>
      </c>
      <c r="IJ62" s="1079" t="s">
        <v>458</v>
      </c>
      <c r="IK62" s="1088"/>
      <c r="IL62" s="1194"/>
      <c r="IM62" s="1194"/>
      <c r="IN62" s="1194"/>
      <c r="IO62" s="1194">
        <f>3000-3</f>
        <v>2997</v>
      </c>
      <c r="IP62" s="1194"/>
      <c r="IQ62" s="1087">
        <f t="shared" si="80"/>
        <v>2997</v>
      </c>
    </row>
    <row r="63" spans="2:251" ht="15.5" hidden="1" x14ac:dyDescent="0.35">
      <c r="B63" s="1058" t="s">
        <v>464</v>
      </c>
      <c r="C63" s="1085"/>
      <c r="D63" s="1061"/>
      <c r="E63" s="1060"/>
      <c r="F63" s="1060"/>
      <c r="G63" s="1060">
        <v>3596</v>
      </c>
      <c r="H63" s="1060"/>
      <c r="I63" s="1059">
        <f t="shared" si="66"/>
        <v>3596</v>
      </c>
      <c r="K63" s="1058" t="s">
        <v>464</v>
      </c>
      <c r="L63" s="1085"/>
      <c r="M63" s="1061"/>
      <c r="N63" s="1060"/>
      <c r="O63" s="1060"/>
      <c r="P63" s="1060">
        <v>3596</v>
      </c>
      <c r="Q63" s="1060"/>
      <c r="R63" s="1059">
        <f t="shared" si="67"/>
        <v>3596</v>
      </c>
      <c r="T63" s="1058" t="s">
        <v>464</v>
      </c>
      <c r="U63" s="1085"/>
      <c r="V63" s="1061"/>
      <c r="W63" s="1060"/>
      <c r="X63" s="1060"/>
      <c r="Y63" s="1060">
        <v>3596</v>
      </c>
      <c r="Z63" s="1196">
        <v>0</v>
      </c>
      <c r="AA63" s="1059">
        <f t="shared" si="68"/>
        <v>3596</v>
      </c>
      <c r="AC63" s="1067" t="s">
        <v>463</v>
      </c>
      <c r="AD63" s="1085"/>
      <c r="AE63" s="1060"/>
      <c r="AF63" s="1060"/>
      <c r="AG63" s="1060"/>
      <c r="AH63" s="1060">
        <v>5882</v>
      </c>
      <c r="AI63" s="1060">
        <v>2200</v>
      </c>
      <c r="AJ63" s="1059">
        <f t="shared" si="69"/>
        <v>8082</v>
      </c>
      <c r="AL63" s="1067" t="s">
        <v>463</v>
      </c>
      <c r="AM63" s="1085"/>
      <c r="AN63" s="1060"/>
      <c r="AO63" s="1060"/>
      <c r="AP63" s="1060"/>
      <c r="AQ63" s="1060">
        <v>5882</v>
      </c>
      <c r="AR63" s="1060">
        <v>2200</v>
      </c>
      <c r="AS63" s="1059">
        <f t="shared" si="70"/>
        <v>8082</v>
      </c>
      <c r="AU63" s="1067" t="s">
        <v>463</v>
      </c>
      <c r="AV63" s="1085"/>
      <c r="AW63" s="1060"/>
      <c r="AX63" s="1060"/>
      <c r="AY63" s="1060"/>
      <c r="AZ63" s="1060">
        <v>5882</v>
      </c>
      <c r="BA63" s="1060">
        <v>2200</v>
      </c>
      <c r="BB63" s="1059">
        <f t="shared" si="71"/>
        <v>8082</v>
      </c>
      <c r="BD63" s="1067" t="s">
        <v>462</v>
      </c>
      <c r="BE63" s="1085"/>
      <c r="BF63" s="1060"/>
      <c r="BG63" s="1060"/>
      <c r="BH63" s="1060"/>
      <c r="BI63" s="1060">
        <v>4500</v>
      </c>
      <c r="BJ63" s="1060">
        <v>1500</v>
      </c>
      <c r="BK63" s="1059">
        <f t="shared" si="53"/>
        <v>6000</v>
      </c>
      <c r="BL63" s="1067" t="s">
        <v>462</v>
      </c>
      <c r="BM63" s="1085"/>
      <c r="BN63" s="1060"/>
      <c r="BO63" s="1060"/>
      <c r="BP63" s="1060"/>
      <c r="BQ63" s="1060">
        <v>4500</v>
      </c>
      <c r="BR63" s="1060">
        <v>1500</v>
      </c>
      <c r="BS63" s="1059">
        <f t="shared" si="72"/>
        <v>6000</v>
      </c>
      <c r="BU63" s="1067" t="s">
        <v>461</v>
      </c>
      <c r="BV63" s="1085"/>
      <c r="BW63" s="1060"/>
      <c r="BX63" s="1060"/>
      <c r="BY63" s="1060"/>
      <c r="BZ63" s="1060">
        <f>1500</f>
        <v>1500</v>
      </c>
      <c r="CA63" s="1060">
        <v>600</v>
      </c>
      <c r="CB63" s="1059">
        <f t="shared" si="54"/>
        <v>2100</v>
      </c>
      <c r="CD63" s="1067" t="s">
        <v>461</v>
      </c>
      <c r="CE63" s="1085"/>
      <c r="CF63" s="1060"/>
      <c r="CG63" s="1060"/>
      <c r="CH63" s="1060"/>
      <c r="CI63" s="1060">
        <f>1500</f>
        <v>1500</v>
      </c>
      <c r="CJ63" s="1060">
        <v>600</v>
      </c>
      <c r="CK63" s="1059">
        <f t="shared" si="55"/>
        <v>2100</v>
      </c>
      <c r="CM63" s="1081" t="s">
        <v>461</v>
      </c>
      <c r="CN63" s="1088"/>
      <c r="CO63" s="1194"/>
      <c r="CP63" s="1194"/>
      <c r="CQ63" s="1194"/>
      <c r="CR63" s="1194">
        <f>1500</f>
        <v>1500</v>
      </c>
      <c r="CS63" s="1194">
        <v>600</v>
      </c>
      <c r="CT63" s="1087">
        <f t="shared" si="56"/>
        <v>2100</v>
      </c>
      <c r="CV63" s="1080" t="s">
        <v>461</v>
      </c>
      <c r="CW63" s="1088"/>
      <c r="CX63" s="1194"/>
      <c r="CY63" s="1194"/>
      <c r="CZ63" s="1194"/>
      <c r="DA63" s="1194">
        <f>1500</f>
        <v>1500</v>
      </c>
      <c r="DB63" s="1194">
        <v>600</v>
      </c>
      <c r="DC63" s="1087">
        <f t="shared" si="73"/>
        <v>2100</v>
      </c>
      <c r="DE63" s="1079" t="s">
        <v>461</v>
      </c>
      <c r="DF63" s="1088"/>
      <c r="DG63" s="1194"/>
      <c r="DH63" s="1194"/>
      <c r="DI63" s="1194"/>
      <c r="DJ63" s="1194">
        <v>1500</v>
      </c>
      <c r="DK63" s="1194">
        <v>600</v>
      </c>
      <c r="DL63" s="1087">
        <f t="shared" si="74"/>
        <v>2100</v>
      </c>
      <c r="DN63" s="1079" t="s">
        <v>461</v>
      </c>
      <c r="DO63" s="1088"/>
      <c r="DP63" s="1194"/>
      <c r="DQ63" s="1194"/>
      <c r="DR63" s="1194"/>
      <c r="DS63" s="1194">
        <v>1500</v>
      </c>
      <c r="DT63" s="1194">
        <v>600</v>
      </c>
      <c r="DU63" s="1087">
        <f t="shared" si="75"/>
        <v>2100</v>
      </c>
      <c r="DW63" s="1079" t="s">
        <v>460</v>
      </c>
      <c r="DX63" s="1088"/>
      <c r="DY63" s="1194"/>
      <c r="DZ63" s="1194"/>
      <c r="EA63" s="1194"/>
      <c r="EB63" s="1194">
        <f>1500</f>
        <v>1500</v>
      </c>
      <c r="EC63" s="1194">
        <f>1200-2</f>
        <v>1198</v>
      </c>
      <c r="ED63" s="1087">
        <f t="shared" si="57"/>
        <v>2698</v>
      </c>
      <c r="EF63" s="1079" t="s">
        <v>460</v>
      </c>
      <c r="EG63" s="1088"/>
      <c r="EH63" s="1194"/>
      <c r="EI63" s="1194"/>
      <c r="EJ63" s="1194"/>
      <c r="EK63" s="1194">
        <f>1500</f>
        <v>1500</v>
      </c>
      <c r="EL63" s="1194">
        <f>1200-2</f>
        <v>1198</v>
      </c>
      <c r="EM63" s="1087">
        <f t="shared" si="76"/>
        <v>2698</v>
      </c>
      <c r="EO63" s="1079" t="s">
        <v>459</v>
      </c>
      <c r="EP63" s="1088"/>
      <c r="EQ63" s="1194"/>
      <c r="ER63" s="1194"/>
      <c r="ES63" s="1194"/>
      <c r="ET63" s="1194">
        <v>1800</v>
      </c>
      <c r="EU63" s="1194">
        <v>600</v>
      </c>
      <c r="EV63" s="1087">
        <f t="shared" si="58"/>
        <v>2400</v>
      </c>
      <c r="EX63" s="1079" t="s">
        <v>459</v>
      </c>
      <c r="EY63" s="1088"/>
      <c r="EZ63" s="1194"/>
      <c r="FA63" s="1194"/>
      <c r="FB63" s="1194"/>
      <c r="FC63" s="1194">
        <v>1800</v>
      </c>
      <c r="FD63" s="1194">
        <v>600</v>
      </c>
      <c r="FE63" s="1087">
        <f t="shared" si="59"/>
        <v>2400</v>
      </c>
      <c r="FG63" s="1079" t="s">
        <v>459</v>
      </c>
      <c r="FH63" s="1088"/>
      <c r="FI63" s="1194"/>
      <c r="FJ63" s="1194"/>
      <c r="FK63" s="1194"/>
      <c r="FL63" s="1194">
        <v>1800</v>
      </c>
      <c r="FM63" s="1194">
        <v>600</v>
      </c>
      <c r="FN63" s="1087">
        <f t="shared" si="60"/>
        <v>2400</v>
      </c>
      <c r="FP63" s="1079" t="s">
        <v>459</v>
      </c>
      <c r="FQ63" s="1088"/>
      <c r="FR63" s="1194"/>
      <c r="FS63" s="1194"/>
      <c r="FT63" s="1194"/>
      <c r="FU63" s="1194">
        <v>1800</v>
      </c>
      <c r="FV63" s="1194">
        <v>600</v>
      </c>
      <c r="FW63" s="1087">
        <f t="shared" si="77"/>
        <v>2400</v>
      </c>
      <c r="FY63" s="1079" t="s">
        <v>458</v>
      </c>
      <c r="FZ63" s="1088"/>
      <c r="GA63" s="1194"/>
      <c r="GB63" s="1194"/>
      <c r="GC63" s="1194"/>
      <c r="GD63" s="1194">
        <f>3000-14</f>
        <v>2986</v>
      </c>
      <c r="GE63" s="1194"/>
      <c r="GF63" s="1087">
        <f t="shared" si="61"/>
        <v>2986</v>
      </c>
      <c r="GH63" s="1079" t="s">
        <v>458</v>
      </c>
      <c r="GI63" s="1088"/>
      <c r="GJ63" s="1194"/>
      <c r="GK63" s="1194"/>
      <c r="GL63" s="1194"/>
      <c r="GM63" s="1194">
        <f>3000-14</f>
        <v>2986</v>
      </c>
      <c r="GN63" s="1194"/>
      <c r="GO63" s="1087">
        <f t="shared" si="62"/>
        <v>2986</v>
      </c>
      <c r="GQ63" s="1079" t="s">
        <v>458</v>
      </c>
      <c r="GR63" s="1088"/>
      <c r="GS63" s="1194"/>
      <c r="GT63" s="1194"/>
      <c r="GU63" s="1194"/>
      <c r="GV63" s="1194">
        <f>3000-14</f>
        <v>2986</v>
      </c>
      <c r="GW63" s="1194"/>
      <c r="GX63" s="1087">
        <f t="shared" si="63"/>
        <v>2986</v>
      </c>
      <c r="GZ63" s="1079" t="s">
        <v>458</v>
      </c>
      <c r="HA63" s="1088"/>
      <c r="HB63" s="1194"/>
      <c r="HC63" s="1194"/>
      <c r="HD63" s="1194"/>
      <c r="HE63" s="1194">
        <f>3000-14</f>
        <v>2986</v>
      </c>
      <c r="HF63" s="1194"/>
      <c r="HG63" s="1087">
        <f t="shared" si="78"/>
        <v>2986</v>
      </c>
      <c r="HI63" s="1079" t="s">
        <v>458</v>
      </c>
      <c r="HJ63" s="1088"/>
      <c r="HK63" s="1194"/>
      <c r="HL63" s="1194"/>
      <c r="HM63" s="1194"/>
      <c r="HN63" s="1194">
        <f>3000-15</f>
        <v>2985</v>
      </c>
      <c r="HO63" s="1194"/>
      <c r="HP63" s="1087">
        <f t="shared" si="79"/>
        <v>2985</v>
      </c>
      <c r="HR63" s="1079" t="s">
        <v>457</v>
      </c>
      <c r="HS63" s="1088"/>
      <c r="HT63" s="1194"/>
      <c r="HU63" s="1194"/>
      <c r="HV63" s="1194"/>
      <c r="HW63" s="1194">
        <f>9150</f>
        <v>9150</v>
      </c>
      <c r="HX63" s="1194"/>
      <c r="HY63" s="1087">
        <f t="shared" si="64"/>
        <v>9150</v>
      </c>
      <c r="IA63" s="1079" t="s">
        <v>457</v>
      </c>
      <c r="IB63" s="1088"/>
      <c r="IC63" s="1194"/>
      <c r="ID63" s="1194"/>
      <c r="IE63" s="1194"/>
      <c r="IF63" s="1194">
        <f>9150</f>
        <v>9150</v>
      </c>
      <c r="IG63" s="1194"/>
      <c r="IH63" s="1087">
        <f t="shared" si="65"/>
        <v>9150</v>
      </c>
      <c r="IJ63" s="1079" t="s">
        <v>457</v>
      </c>
      <c r="IK63" s="1088"/>
      <c r="IL63" s="1194"/>
      <c r="IM63" s="1194"/>
      <c r="IN63" s="1194"/>
      <c r="IO63" s="1194">
        <f>9150</f>
        <v>9150</v>
      </c>
      <c r="IP63" s="1194"/>
      <c r="IQ63" s="1087">
        <f t="shared" si="80"/>
        <v>9150</v>
      </c>
    </row>
    <row r="64" spans="2:251" ht="15.5" hidden="1" x14ac:dyDescent="0.35">
      <c r="B64" s="1058" t="s">
        <v>463</v>
      </c>
      <c r="C64" s="1085"/>
      <c r="D64" s="1060"/>
      <c r="E64" s="1060"/>
      <c r="F64" s="1060"/>
      <c r="G64" s="1060">
        <v>5882</v>
      </c>
      <c r="H64" s="1060">
        <v>2200</v>
      </c>
      <c r="I64" s="1059">
        <f t="shared" si="66"/>
        <v>8082</v>
      </c>
      <c r="K64" s="1067" t="s">
        <v>463</v>
      </c>
      <c r="L64" s="1085"/>
      <c r="M64" s="1060"/>
      <c r="N64" s="1060"/>
      <c r="O64" s="1060"/>
      <c r="P64" s="1060">
        <v>5882</v>
      </c>
      <c r="Q64" s="1060">
        <v>2200</v>
      </c>
      <c r="R64" s="1059">
        <f t="shared" si="67"/>
        <v>8082</v>
      </c>
      <c r="T64" s="1067" t="s">
        <v>463</v>
      </c>
      <c r="U64" s="1085"/>
      <c r="V64" s="1060"/>
      <c r="W64" s="1060"/>
      <c r="X64" s="1060"/>
      <c r="Y64" s="1060">
        <v>5882</v>
      </c>
      <c r="Z64" s="1060">
        <v>2200</v>
      </c>
      <c r="AA64" s="1059">
        <f t="shared" si="68"/>
        <v>8082</v>
      </c>
      <c r="AC64" s="1067" t="s">
        <v>462</v>
      </c>
      <c r="AD64" s="1085"/>
      <c r="AE64" s="1060"/>
      <c r="AF64" s="1060"/>
      <c r="AG64" s="1060"/>
      <c r="AH64" s="1060">
        <v>4500</v>
      </c>
      <c r="AI64" s="1060">
        <v>1500</v>
      </c>
      <c r="AJ64" s="1059">
        <f t="shared" si="69"/>
        <v>6000</v>
      </c>
      <c r="AL64" s="1067" t="s">
        <v>462</v>
      </c>
      <c r="AM64" s="1085"/>
      <c r="AN64" s="1060"/>
      <c r="AO64" s="1060"/>
      <c r="AP64" s="1060"/>
      <c r="AQ64" s="1060">
        <v>4500</v>
      </c>
      <c r="AR64" s="1060">
        <v>1500</v>
      </c>
      <c r="AS64" s="1059">
        <f t="shared" si="70"/>
        <v>6000</v>
      </c>
      <c r="AU64" s="1067" t="s">
        <v>462</v>
      </c>
      <c r="AV64" s="1085"/>
      <c r="AW64" s="1060"/>
      <c r="AX64" s="1060"/>
      <c r="AY64" s="1060"/>
      <c r="AZ64" s="1060">
        <v>4500</v>
      </c>
      <c r="BA64" s="1060">
        <v>1500</v>
      </c>
      <c r="BB64" s="1059">
        <f t="shared" si="71"/>
        <v>6000</v>
      </c>
      <c r="BD64" s="1067" t="s">
        <v>461</v>
      </c>
      <c r="BE64" s="1085"/>
      <c r="BF64" s="1060"/>
      <c r="BG64" s="1060"/>
      <c r="BH64" s="1060"/>
      <c r="BI64" s="1060">
        <f>1500</f>
        <v>1500</v>
      </c>
      <c r="BJ64" s="1060">
        <v>600</v>
      </c>
      <c r="BK64" s="1059">
        <f t="shared" si="53"/>
        <v>2100</v>
      </c>
      <c r="BL64" s="1067"/>
      <c r="BM64" s="1085"/>
      <c r="BN64" s="1060"/>
      <c r="BO64" s="1060"/>
      <c r="BP64" s="1060"/>
      <c r="BQ64" s="1060"/>
      <c r="BR64" s="1060"/>
      <c r="BS64" s="1059">
        <f t="shared" si="72"/>
        <v>0</v>
      </c>
      <c r="BU64" s="1067" t="s">
        <v>460</v>
      </c>
      <c r="BV64" s="1085"/>
      <c r="BW64" s="1060"/>
      <c r="BX64" s="1060"/>
      <c r="BY64" s="1060"/>
      <c r="BZ64" s="1060">
        <f>1500</f>
        <v>1500</v>
      </c>
      <c r="CA64" s="1060">
        <v>1200</v>
      </c>
      <c r="CB64" s="1059">
        <f t="shared" si="54"/>
        <v>2700</v>
      </c>
      <c r="CD64" s="1067" t="s">
        <v>460</v>
      </c>
      <c r="CE64" s="1085"/>
      <c r="CF64" s="1060"/>
      <c r="CG64" s="1060"/>
      <c r="CH64" s="1060"/>
      <c r="CI64" s="1060">
        <f>1500</f>
        <v>1500</v>
      </c>
      <c r="CJ64" s="1060">
        <v>1200</v>
      </c>
      <c r="CK64" s="1059">
        <f t="shared" si="55"/>
        <v>2700</v>
      </c>
      <c r="CM64" s="1081" t="s">
        <v>460</v>
      </c>
      <c r="CN64" s="1088"/>
      <c r="CO64" s="1194"/>
      <c r="CP64" s="1194"/>
      <c r="CQ64" s="1194"/>
      <c r="CR64" s="1194">
        <f>1500</f>
        <v>1500</v>
      </c>
      <c r="CS64" s="1194">
        <v>1200</v>
      </c>
      <c r="CT64" s="1087">
        <f t="shared" si="56"/>
        <v>2700</v>
      </c>
      <c r="CV64" s="1080" t="s">
        <v>460</v>
      </c>
      <c r="CW64" s="1088"/>
      <c r="CX64" s="1194"/>
      <c r="CY64" s="1194"/>
      <c r="CZ64" s="1194"/>
      <c r="DA64" s="1194">
        <f>1500</f>
        <v>1500</v>
      </c>
      <c r="DB64" s="1194">
        <f>1200-2</f>
        <v>1198</v>
      </c>
      <c r="DC64" s="1087">
        <f t="shared" si="73"/>
        <v>2698</v>
      </c>
      <c r="DE64" s="1079" t="s">
        <v>460</v>
      </c>
      <c r="DF64" s="1088"/>
      <c r="DG64" s="1194"/>
      <c r="DH64" s="1194"/>
      <c r="DI64" s="1194"/>
      <c r="DJ64" s="1194">
        <v>1500</v>
      </c>
      <c r="DK64" s="1194">
        <f>1200-2</f>
        <v>1198</v>
      </c>
      <c r="DL64" s="1087">
        <f t="shared" si="74"/>
        <v>2698</v>
      </c>
      <c r="DN64" s="1079" t="s">
        <v>460</v>
      </c>
      <c r="DO64" s="1088"/>
      <c r="DP64" s="1194"/>
      <c r="DQ64" s="1194"/>
      <c r="DR64" s="1194"/>
      <c r="DS64" s="1194">
        <f>1500</f>
        <v>1500</v>
      </c>
      <c r="DT64" s="1194">
        <f>1200-2</f>
        <v>1198</v>
      </c>
      <c r="DU64" s="1087">
        <f t="shared" si="75"/>
        <v>2698</v>
      </c>
      <c r="DW64" s="1079" t="s">
        <v>459</v>
      </c>
      <c r="DX64" s="1088"/>
      <c r="DY64" s="1194"/>
      <c r="DZ64" s="1194"/>
      <c r="EA64" s="1194"/>
      <c r="EB64" s="1194">
        <v>1800</v>
      </c>
      <c r="EC64" s="1194">
        <v>600</v>
      </c>
      <c r="ED64" s="1087">
        <f t="shared" si="57"/>
        <v>2400</v>
      </c>
      <c r="EF64" s="1079" t="s">
        <v>459</v>
      </c>
      <c r="EG64" s="1088"/>
      <c r="EH64" s="1194"/>
      <c r="EI64" s="1194"/>
      <c r="EJ64" s="1194"/>
      <c r="EK64" s="1194">
        <v>1800</v>
      </c>
      <c r="EL64" s="1194">
        <v>600</v>
      </c>
      <c r="EM64" s="1087">
        <f t="shared" si="76"/>
        <v>2400</v>
      </c>
      <c r="EO64" s="1079" t="s">
        <v>458</v>
      </c>
      <c r="EP64" s="1088"/>
      <c r="EQ64" s="1194"/>
      <c r="ER64" s="1194"/>
      <c r="ES64" s="1194"/>
      <c r="ET64" s="1194">
        <f>3000-14</f>
        <v>2986</v>
      </c>
      <c r="EU64" s="1194"/>
      <c r="EV64" s="1087">
        <f t="shared" si="58"/>
        <v>2986</v>
      </c>
      <c r="EX64" s="1079" t="s">
        <v>458</v>
      </c>
      <c r="EY64" s="1088"/>
      <c r="EZ64" s="1194"/>
      <c r="FA64" s="1194"/>
      <c r="FB64" s="1194"/>
      <c r="FC64" s="1194">
        <f>3000-14</f>
        <v>2986</v>
      </c>
      <c r="FD64" s="1194"/>
      <c r="FE64" s="1087">
        <f t="shared" si="59"/>
        <v>2986</v>
      </c>
      <c r="FG64" s="1079" t="s">
        <v>458</v>
      </c>
      <c r="FH64" s="1088"/>
      <c r="FI64" s="1194"/>
      <c r="FJ64" s="1194"/>
      <c r="FK64" s="1194"/>
      <c r="FL64" s="1194">
        <f>3000-14</f>
        <v>2986</v>
      </c>
      <c r="FM64" s="1194"/>
      <c r="FN64" s="1087">
        <f t="shared" si="60"/>
        <v>2986</v>
      </c>
      <c r="FP64" s="1079" t="s">
        <v>458</v>
      </c>
      <c r="FQ64" s="1088"/>
      <c r="FR64" s="1194"/>
      <c r="FS64" s="1194"/>
      <c r="FT64" s="1194"/>
      <c r="FU64" s="1194">
        <f>3000-14</f>
        <v>2986</v>
      </c>
      <c r="FV64" s="1194"/>
      <c r="FW64" s="1087">
        <f t="shared" si="77"/>
        <v>2986</v>
      </c>
      <c r="FY64" s="1079" t="s">
        <v>457</v>
      </c>
      <c r="FZ64" s="1088"/>
      <c r="GA64" s="1194"/>
      <c r="GB64" s="1194"/>
      <c r="GC64" s="1194"/>
      <c r="GD64" s="1194">
        <f>9150</f>
        <v>9150</v>
      </c>
      <c r="GE64" s="1194"/>
      <c r="GF64" s="1087">
        <f t="shared" si="61"/>
        <v>9150</v>
      </c>
      <c r="GH64" s="1079" t="s">
        <v>457</v>
      </c>
      <c r="GI64" s="1088"/>
      <c r="GJ64" s="1194"/>
      <c r="GK64" s="1194"/>
      <c r="GL64" s="1194"/>
      <c r="GM64" s="1194">
        <f>9150</f>
        <v>9150</v>
      </c>
      <c r="GN64" s="1194"/>
      <c r="GO64" s="1087">
        <f t="shared" si="62"/>
        <v>9150</v>
      </c>
      <c r="GQ64" s="1079" t="s">
        <v>457</v>
      </c>
      <c r="GR64" s="1088"/>
      <c r="GS64" s="1194"/>
      <c r="GT64" s="1194"/>
      <c r="GU64" s="1194"/>
      <c r="GV64" s="1194">
        <f>9150</f>
        <v>9150</v>
      </c>
      <c r="GW64" s="1194"/>
      <c r="GX64" s="1087">
        <f t="shared" si="63"/>
        <v>9150</v>
      </c>
      <c r="GZ64" s="1079" t="s">
        <v>457</v>
      </c>
      <c r="HA64" s="1088"/>
      <c r="HB64" s="1194"/>
      <c r="HC64" s="1194"/>
      <c r="HD64" s="1194"/>
      <c r="HE64" s="1194">
        <f>9150</f>
        <v>9150</v>
      </c>
      <c r="HF64" s="1194"/>
      <c r="HG64" s="1087">
        <f t="shared" si="78"/>
        <v>9150</v>
      </c>
      <c r="HI64" s="1079" t="s">
        <v>457</v>
      </c>
      <c r="HJ64" s="1088"/>
      <c r="HK64" s="1194"/>
      <c r="HL64" s="1194"/>
      <c r="HM64" s="1194"/>
      <c r="HN64" s="1194">
        <f>9150</f>
        <v>9150</v>
      </c>
      <c r="HO64" s="1194"/>
      <c r="HP64" s="1087">
        <f t="shared" si="79"/>
        <v>9150</v>
      </c>
      <c r="HR64" s="1079" t="s">
        <v>456</v>
      </c>
      <c r="HS64" s="1088"/>
      <c r="HT64" s="1194"/>
      <c r="HU64" s="1194"/>
      <c r="HV64" s="1194"/>
      <c r="HW64" s="1194">
        <f>9900</f>
        <v>9900</v>
      </c>
      <c r="HX64" s="1194"/>
      <c r="HY64" s="1087">
        <f t="shared" si="64"/>
        <v>9900</v>
      </c>
      <c r="IA64" s="1079" t="s">
        <v>456</v>
      </c>
      <c r="IB64" s="1088"/>
      <c r="IC64" s="1194"/>
      <c r="ID64" s="1194"/>
      <c r="IE64" s="1194"/>
      <c r="IF64" s="1194">
        <f>9900</f>
        <v>9900</v>
      </c>
      <c r="IG64" s="1194"/>
      <c r="IH64" s="1087">
        <f t="shared" si="65"/>
        <v>9900</v>
      </c>
      <c r="IJ64" s="1079" t="s">
        <v>456</v>
      </c>
      <c r="IK64" s="1088"/>
      <c r="IL64" s="1194"/>
      <c r="IM64" s="1194"/>
      <c r="IN64" s="1194"/>
      <c r="IO64" s="1194">
        <f>9900</f>
        <v>9900</v>
      </c>
      <c r="IP64" s="1194"/>
      <c r="IQ64" s="1087">
        <f t="shared" si="80"/>
        <v>9900</v>
      </c>
    </row>
    <row r="65" spans="2:251" ht="15.5" hidden="1" x14ac:dyDescent="0.35">
      <c r="B65" s="1058" t="s">
        <v>462</v>
      </c>
      <c r="C65" s="1085"/>
      <c r="D65" s="1060"/>
      <c r="E65" s="1060"/>
      <c r="F65" s="1060"/>
      <c r="G65" s="1060">
        <v>4500</v>
      </c>
      <c r="H65" s="1060">
        <v>1500</v>
      </c>
      <c r="I65" s="1059">
        <f t="shared" si="66"/>
        <v>6000</v>
      </c>
      <c r="K65" s="1067" t="s">
        <v>462</v>
      </c>
      <c r="L65" s="1085"/>
      <c r="M65" s="1060"/>
      <c r="N65" s="1060"/>
      <c r="O65" s="1060"/>
      <c r="P65" s="1060">
        <v>4500</v>
      </c>
      <c r="Q65" s="1060">
        <v>1500</v>
      </c>
      <c r="R65" s="1059">
        <f t="shared" si="67"/>
        <v>6000</v>
      </c>
      <c r="T65" s="1067" t="s">
        <v>462</v>
      </c>
      <c r="U65" s="1085"/>
      <c r="V65" s="1060"/>
      <c r="W65" s="1060"/>
      <c r="X65" s="1060"/>
      <c r="Y65" s="1060">
        <v>4500</v>
      </c>
      <c r="Z65" s="1060">
        <v>1500</v>
      </c>
      <c r="AA65" s="1059">
        <f t="shared" si="68"/>
        <v>6000</v>
      </c>
      <c r="AC65" s="1067" t="s">
        <v>461</v>
      </c>
      <c r="AD65" s="1085"/>
      <c r="AE65" s="1060"/>
      <c r="AF65" s="1060"/>
      <c r="AG65" s="1060"/>
      <c r="AH65" s="1060">
        <f>1500</f>
        <v>1500</v>
      </c>
      <c r="AI65" s="1060">
        <v>600</v>
      </c>
      <c r="AJ65" s="1059">
        <f t="shared" si="69"/>
        <v>2100</v>
      </c>
      <c r="AL65" s="1067"/>
      <c r="AM65" s="1085"/>
      <c r="AN65" s="1060"/>
      <c r="AO65" s="1060"/>
      <c r="AP65" s="1060"/>
      <c r="AQ65" s="1060"/>
      <c r="AR65" s="1060"/>
      <c r="AS65" s="1059">
        <f t="shared" si="70"/>
        <v>0</v>
      </c>
      <c r="AU65" s="1067" t="s">
        <v>461</v>
      </c>
      <c r="AV65" s="1085"/>
      <c r="AW65" s="1060"/>
      <c r="AX65" s="1060"/>
      <c r="AY65" s="1060"/>
      <c r="AZ65" s="1060">
        <f>1500</f>
        <v>1500</v>
      </c>
      <c r="BA65" s="1060">
        <v>600</v>
      </c>
      <c r="BB65" s="1059">
        <f t="shared" si="71"/>
        <v>2100</v>
      </c>
      <c r="BD65" s="1067" t="s">
        <v>460</v>
      </c>
      <c r="BE65" s="1085"/>
      <c r="BF65" s="1060"/>
      <c r="BG65" s="1060"/>
      <c r="BH65" s="1060"/>
      <c r="BI65" s="1060">
        <f>1500</f>
        <v>1500</v>
      </c>
      <c r="BJ65" s="1060">
        <v>1200</v>
      </c>
      <c r="BK65" s="1059">
        <f t="shared" si="53"/>
        <v>2700</v>
      </c>
      <c r="BL65" s="1067" t="s">
        <v>461</v>
      </c>
      <c r="BM65" s="1085"/>
      <c r="BN65" s="1060"/>
      <c r="BO65" s="1060"/>
      <c r="BP65" s="1060"/>
      <c r="BQ65" s="1060">
        <f>1500</f>
        <v>1500</v>
      </c>
      <c r="BR65" s="1060">
        <v>600</v>
      </c>
      <c r="BS65" s="1059">
        <f t="shared" si="72"/>
        <v>2100</v>
      </c>
      <c r="BU65" s="1067" t="s">
        <v>459</v>
      </c>
      <c r="BV65" s="1085"/>
      <c r="BW65" s="1060"/>
      <c r="BX65" s="1060"/>
      <c r="BY65" s="1060"/>
      <c r="BZ65" s="1060">
        <v>1800</v>
      </c>
      <c r="CA65" s="1060">
        <v>600</v>
      </c>
      <c r="CB65" s="1059">
        <f t="shared" si="54"/>
        <v>2400</v>
      </c>
      <c r="CD65" s="1067" t="s">
        <v>459</v>
      </c>
      <c r="CE65" s="1085"/>
      <c r="CF65" s="1060"/>
      <c r="CG65" s="1060"/>
      <c r="CH65" s="1060"/>
      <c r="CI65" s="1060">
        <v>1800</v>
      </c>
      <c r="CJ65" s="1060">
        <v>600</v>
      </c>
      <c r="CK65" s="1059">
        <f t="shared" si="55"/>
        <v>2400</v>
      </c>
      <c r="CM65" s="1081" t="s">
        <v>459</v>
      </c>
      <c r="CN65" s="1088"/>
      <c r="CO65" s="1194"/>
      <c r="CP65" s="1194"/>
      <c r="CQ65" s="1194"/>
      <c r="CR65" s="1194">
        <v>1800</v>
      </c>
      <c r="CS65" s="1194">
        <v>600</v>
      </c>
      <c r="CT65" s="1087">
        <f t="shared" si="56"/>
        <v>2400</v>
      </c>
      <c r="CV65" s="1080" t="s">
        <v>459</v>
      </c>
      <c r="CW65" s="1088"/>
      <c r="CX65" s="1194"/>
      <c r="CY65" s="1194"/>
      <c r="CZ65" s="1194"/>
      <c r="DA65" s="1194">
        <v>1800</v>
      </c>
      <c r="DB65" s="1194">
        <v>600</v>
      </c>
      <c r="DC65" s="1087">
        <f t="shared" si="73"/>
        <v>2400</v>
      </c>
      <c r="DE65" s="1079" t="s">
        <v>459</v>
      </c>
      <c r="DF65" s="1088"/>
      <c r="DG65" s="1194"/>
      <c r="DH65" s="1194"/>
      <c r="DI65" s="1194"/>
      <c r="DJ65" s="1194">
        <v>1800</v>
      </c>
      <c r="DK65" s="1194">
        <v>600</v>
      </c>
      <c r="DL65" s="1087">
        <f t="shared" si="74"/>
        <v>2400</v>
      </c>
      <c r="DN65" s="1079" t="s">
        <v>459</v>
      </c>
      <c r="DO65" s="1088"/>
      <c r="DP65" s="1194"/>
      <c r="DQ65" s="1194"/>
      <c r="DR65" s="1194"/>
      <c r="DS65" s="1194">
        <v>1800</v>
      </c>
      <c r="DT65" s="1194">
        <v>600</v>
      </c>
      <c r="DU65" s="1087">
        <f t="shared" si="75"/>
        <v>2400</v>
      </c>
      <c r="DW65" s="1079" t="s">
        <v>458</v>
      </c>
      <c r="DX65" s="1088"/>
      <c r="DY65" s="1194"/>
      <c r="DZ65" s="1194"/>
      <c r="EA65" s="1194"/>
      <c r="EB65" s="1194">
        <f>3000-15</f>
        <v>2985</v>
      </c>
      <c r="EC65" s="1194"/>
      <c r="ED65" s="1087">
        <f t="shared" si="57"/>
        <v>2985</v>
      </c>
      <c r="EF65" s="1079" t="s">
        <v>458</v>
      </c>
      <c r="EG65" s="1088"/>
      <c r="EH65" s="1194"/>
      <c r="EI65" s="1194"/>
      <c r="EJ65" s="1194"/>
      <c r="EK65" s="1194">
        <f>3000-14</f>
        <v>2986</v>
      </c>
      <c r="EL65" s="1194"/>
      <c r="EM65" s="1087">
        <f t="shared" si="76"/>
        <v>2986</v>
      </c>
      <c r="EO65" s="1079" t="s">
        <v>457</v>
      </c>
      <c r="EP65" s="1088"/>
      <c r="EQ65" s="1194"/>
      <c r="ER65" s="1194"/>
      <c r="ES65" s="1194"/>
      <c r="ET65" s="1194">
        <v>9150</v>
      </c>
      <c r="EU65" s="1194"/>
      <c r="EV65" s="1087">
        <f t="shared" si="58"/>
        <v>9150</v>
      </c>
      <c r="EX65" s="1079" t="s">
        <v>457</v>
      </c>
      <c r="EY65" s="1088"/>
      <c r="EZ65" s="1194"/>
      <c r="FA65" s="1194"/>
      <c r="FB65" s="1194"/>
      <c r="FC65" s="1194">
        <v>9150</v>
      </c>
      <c r="FD65" s="1194"/>
      <c r="FE65" s="1087">
        <f t="shared" si="59"/>
        <v>9150</v>
      </c>
      <c r="FG65" s="1079" t="s">
        <v>457</v>
      </c>
      <c r="FH65" s="1088"/>
      <c r="FI65" s="1194"/>
      <c r="FJ65" s="1194"/>
      <c r="FK65" s="1194"/>
      <c r="FL65" s="1194">
        <v>9150</v>
      </c>
      <c r="FM65" s="1194"/>
      <c r="FN65" s="1087">
        <f t="shared" si="60"/>
        <v>9150</v>
      </c>
      <c r="FP65" s="1079" t="s">
        <v>457</v>
      </c>
      <c r="FQ65" s="1088"/>
      <c r="FR65" s="1194"/>
      <c r="FS65" s="1194"/>
      <c r="FT65" s="1194"/>
      <c r="FU65" s="1194">
        <f>9150</f>
        <v>9150</v>
      </c>
      <c r="FV65" s="1194"/>
      <c r="FW65" s="1087">
        <f t="shared" si="77"/>
        <v>9150</v>
      </c>
      <c r="FY65" s="1079" t="s">
        <v>456</v>
      </c>
      <c r="FZ65" s="1088"/>
      <c r="GA65" s="1194"/>
      <c r="GB65" s="1194"/>
      <c r="GC65" s="1194"/>
      <c r="GD65" s="1194">
        <f>9900</f>
        <v>9900</v>
      </c>
      <c r="GE65" s="1194"/>
      <c r="GF65" s="1087">
        <f t="shared" si="61"/>
        <v>9900</v>
      </c>
      <c r="GH65" s="1079" t="s">
        <v>456</v>
      </c>
      <c r="GI65" s="1088"/>
      <c r="GJ65" s="1194"/>
      <c r="GK65" s="1194"/>
      <c r="GL65" s="1194"/>
      <c r="GM65" s="1194">
        <f>9900</f>
        <v>9900</v>
      </c>
      <c r="GN65" s="1194"/>
      <c r="GO65" s="1087">
        <f t="shared" si="62"/>
        <v>9900</v>
      </c>
      <c r="GQ65" s="1079" t="s">
        <v>456</v>
      </c>
      <c r="GR65" s="1088"/>
      <c r="GS65" s="1194"/>
      <c r="GT65" s="1194"/>
      <c r="GU65" s="1194"/>
      <c r="GV65" s="1194">
        <f>9900</f>
        <v>9900</v>
      </c>
      <c r="GW65" s="1194"/>
      <c r="GX65" s="1087">
        <f t="shared" si="63"/>
        <v>9900</v>
      </c>
      <c r="GZ65" s="1079" t="s">
        <v>456</v>
      </c>
      <c r="HA65" s="1088"/>
      <c r="HB65" s="1194"/>
      <c r="HC65" s="1194"/>
      <c r="HD65" s="1194"/>
      <c r="HE65" s="1194">
        <f>9900</f>
        <v>9900</v>
      </c>
      <c r="HF65" s="1194"/>
      <c r="HG65" s="1087">
        <f t="shared" si="78"/>
        <v>9900</v>
      </c>
      <c r="HI65" s="1079" t="s">
        <v>456</v>
      </c>
      <c r="HJ65" s="1088"/>
      <c r="HK65" s="1194"/>
      <c r="HL65" s="1194"/>
      <c r="HM65" s="1194"/>
      <c r="HN65" s="1194">
        <f>9900</f>
        <v>9900</v>
      </c>
      <c r="HO65" s="1194"/>
      <c r="HP65" s="1087">
        <f t="shared" si="79"/>
        <v>9900</v>
      </c>
      <c r="HR65" s="1079" t="s">
        <v>455</v>
      </c>
      <c r="HS65" s="1088"/>
      <c r="HT65" s="1194"/>
      <c r="HU65" s="1194"/>
      <c r="HV65" s="1194"/>
      <c r="HW65" s="1194">
        <f>7800</f>
        <v>7800</v>
      </c>
      <c r="HX65" s="1194"/>
      <c r="HY65" s="1087">
        <f t="shared" si="64"/>
        <v>7800</v>
      </c>
      <c r="IA65" s="1079" t="s">
        <v>455</v>
      </c>
      <c r="IB65" s="1088"/>
      <c r="IC65" s="1194"/>
      <c r="ID65" s="1194"/>
      <c r="IE65" s="1194"/>
      <c r="IF65" s="1194">
        <f>7800</f>
        <v>7800</v>
      </c>
      <c r="IG65" s="1194"/>
      <c r="IH65" s="1087">
        <f t="shared" si="65"/>
        <v>7800</v>
      </c>
      <c r="IJ65" s="1079" t="s">
        <v>455</v>
      </c>
      <c r="IK65" s="1088"/>
      <c r="IL65" s="1194"/>
      <c r="IM65" s="1194"/>
      <c r="IN65" s="1194"/>
      <c r="IO65" s="1194">
        <f>7800</f>
        <v>7800</v>
      </c>
      <c r="IP65" s="1194"/>
      <c r="IQ65" s="1087">
        <f t="shared" si="80"/>
        <v>7800</v>
      </c>
    </row>
    <row r="66" spans="2:251" ht="15.5" hidden="1" x14ac:dyDescent="0.35">
      <c r="B66" s="1058" t="s">
        <v>461</v>
      </c>
      <c r="C66" s="1085"/>
      <c r="D66" s="1060"/>
      <c r="E66" s="1060"/>
      <c r="F66" s="1060"/>
      <c r="G66" s="1060">
        <f>1500</f>
        <v>1500</v>
      </c>
      <c r="H66" s="1060">
        <v>600</v>
      </c>
      <c r="I66" s="1059">
        <f t="shared" si="66"/>
        <v>2100</v>
      </c>
      <c r="K66" s="1067" t="s">
        <v>461</v>
      </c>
      <c r="L66" s="1085"/>
      <c r="M66" s="1060"/>
      <c r="N66" s="1060"/>
      <c r="O66" s="1060"/>
      <c r="P66" s="1060">
        <f>1500</f>
        <v>1500</v>
      </c>
      <c r="Q66" s="1060">
        <v>600</v>
      </c>
      <c r="R66" s="1059">
        <f t="shared" si="67"/>
        <v>2100</v>
      </c>
      <c r="T66" s="1067"/>
      <c r="U66" s="1085"/>
      <c r="V66" s="1060"/>
      <c r="W66" s="1060"/>
      <c r="X66" s="1060"/>
      <c r="Y66" s="1060"/>
      <c r="Z66" s="1060"/>
      <c r="AA66" s="1059">
        <f t="shared" si="68"/>
        <v>0</v>
      </c>
      <c r="AC66" s="1067" t="s">
        <v>460</v>
      </c>
      <c r="AD66" s="1085"/>
      <c r="AE66" s="1060"/>
      <c r="AF66" s="1060"/>
      <c r="AG66" s="1060"/>
      <c r="AH66" s="1060">
        <f>1500</f>
        <v>1500</v>
      </c>
      <c r="AI66" s="1060">
        <v>1200</v>
      </c>
      <c r="AJ66" s="1059">
        <f t="shared" si="69"/>
        <v>2700</v>
      </c>
      <c r="AL66" s="1067" t="s">
        <v>461</v>
      </c>
      <c r="AM66" s="1085"/>
      <c r="AN66" s="1060"/>
      <c r="AO66" s="1060"/>
      <c r="AP66" s="1060"/>
      <c r="AQ66" s="1060">
        <f>1500</f>
        <v>1500</v>
      </c>
      <c r="AR66" s="1060">
        <v>600</v>
      </c>
      <c r="AS66" s="1059">
        <f t="shared" si="70"/>
        <v>2100</v>
      </c>
      <c r="AU66" s="1067" t="s">
        <v>460</v>
      </c>
      <c r="AV66" s="1085"/>
      <c r="AW66" s="1060"/>
      <c r="AX66" s="1060"/>
      <c r="AY66" s="1060"/>
      <c r="AZ66" s="1060">
        <f>1500</f>
        <v>1500</v>
      </c>
      <c r="BA66" s="1060">
        <v>1200</v>
      </c>
      <c r="BB66" s="1059">
        <f t="shared" si="71"/>
        <v>2700</v>
      </c>
      <c r="BD66" s="1067" t="s">
        <v>459</v>
      </c>
      <c r="BE66" s="1085"/>
      <c r="BF66" s="1060"/>
      <c r="BG66" s="1060"/>
      <c r="BH66" s="1060"/>
      <c r="BI66" s="1060">
        <v>1800</v>
      </c>
      <c r="BJ66" s="1060"/>
      <c r="BK66" s="1059">
        <f t="shared" si="53"/>
        <v>1800</v>
      </c>
      <c r="BL66" s="1067" t="s">
        <v>460</v>
      </c>
      <c r="BM66" s="1085"/>
      <c r="BN66" s="1060"/>
      <c r="BO66" s="1060"/>
      <c r="BP66" s="1060"/>
      <c r="BQ66" s="1060">
        <f>1500</f>
        <v>1500</v>
      </c>
      <c r="BR66" s="1060">
        <v>1200</v>
      </c>
      <c r="BS66" s="1059">
        <f t="shared" si="72"/>
        <v>2700</v>
      </c>
      <c r="BU66" s="1067" t="s">
        <v>458</v>
      </c>
      <c r="BV66" s="1085"/>
      <c r="BW66" s="1060"/>
      <c r="BX66" s="1060"/>
      <c r="BY66" s="1060"/>
      <c r="BZ66" s="1060">
        <f>1500</f>
        <v>1500</v>
      </c>
      <c r="CA66" s="1060"/>
      <c r="CB66" s="1059">
        <f t="shared" si="54"/>
        <v>1500</v>
      </c>
      <c r="CD66" s="1067" t="s">
        <v>458</v>
      </c>
      <c r="CE66" s="1085"/>
      <c r="CF66" s="1060"/>
      <c r="CG66" s="1060"/>
      <c r="CH66" s="1060"/>
      <c r="CI66" s="1060">
        <v>1500</v>
      </c>
      <c r="CJ66" s="1060"/>
      <c r="CK66" s="1059">
        <f t="shared" si="55"/>
        <v>1500</v>
      </c>
      <c r="CM66" s="1081" t="s">
        <v>458</v>
      </c>
      <c r="CN66" s="1088"/>
      <c r="CO66" s="1194"/>
      <c r="CP66" s="1194"/>
      <c r="CQ66" s="1194"/>
      <c r="CR66" s="1194">
        <f>1500+1500</f>
        <v>3000</v>
      </c>
      <c r="CS66" s="1194"/>
      <c r="CT66" s="1087">
        <f t="shared" si="56"/>
        <v>3000</v>
      </c>
      <c r="CV66" s="1080" t="s">
        <v>458</v>
      </c>
      <c r="CW66" s="1088"/>
      <c r="CX66" s="1194"/>
      <c r="CY66" s="1194"/>
      <c r="CZ66" s="1194"/>
      <c r="DA66" s="1194">
        <f>1500+1500-26</f>
        <v>2974</v>
      </c>
      <c r="DB66" s="1194"/>
      <c r="DC66" s="1087">
        <f t="shared" si="73"/>
        <v>2974</v>
      </c>
      <c r="DE66" s="1079" t="s">
        <v>458</v>
      </c>
      <c r="DF66" s="1088"/>
      <c r="DG66" s="1194"/>
      <c r="DH66" s="1194"/>
      <c r="DI66" s="1194"/>
      <c r="DJ66" s="1194">
        <f>3000-10</f>
        <v>2990</v>
      </c>
      <c r="DK66" s="1194"/>
      <c r="DL66" s="1087">
        <f t="shared" si="74"/>
        <v>2990</v>
      </c>
      <c r="DN66" s="1079" t="s">
        <v>458</v>
      </c>
      <c r="DO66" s="1088"/>
      <c r="DP66" s="1194"/>
      <c r="DQ66" s="1194"/>
      <c r="DR66" s="1194"/>
      <c r="DS66" s="1194">
        <f>3000-10</f>
        <v>2990</v>
      </c>
      <c r="DT66" s="1194"/>
      <c r="DU66" s="1087">
        <f t="shared" si="75"/>
        <v>2990</v>
      </c>
      <c r="DW66" s="1079" t="s">
        <v>457</v>
      </c>
      <c r="DX66" s="1088"/>
      <c r="DY66" s="1194"/>
      <c r="DZ66" s="1194"/>
      <c r="EA66" s="1194"/>
      <c r="EB66" s="1194">
        <f>3000+2000</f>
        <v>5000</v>
      </c>
      <c r="EC66" s="1194"/>
      <c r="ED66" s="1087">
        <f t="shared" si="57"/>
        <v>5000</v>
      </c>
      <c r="EF66" s="1079" t="s">
        <v>457</v>
      </c>
      <c r="EG66" s="1088"/>
      <c r="EH66" s="1194"/>
      <c r="EI66" s="1194"/>
      <c r="EJ66" s="1194"/>
      <c r="EK66" s="1194">
        <v>9150</v>
      </c>
      <c r="EL66" s="1194"/>
      <c r="EM66" s="1087">
        <f t="shared" si="76"/>
        <v>9150</v>
      </c>
      <c r="EO66" s="1079" t="s">
        <v>456</v>
      </c>
      <c r="EP66" s="1088"/>
      <c r="EQ66" s="1194"/>
      <c r="ER66" s="1194"/>
      <c r="ES66" s="1194"/>
      <c r="ET66" s="1194">
        <f>3400+2000</f>
        <v>5400</v>
      </c>
      <c r="EU66" s="1194"/>
      <c r="EV66" s="1087">
        <f t="shared" si="58"/>
        <v>5400</v>
      </c>
      <c r="EX66" s="1079" t="s">
        <v>456</v>
      </c>
      <c r="EY66" s="1088"/>
      <c r="EZ66" s="1194"/>
      <c r="FA66" s="1194"/>
      <c r="FB66" s="1194"/>
      <c r="FC66" s="1194">
        <f>3400+2000</f>
        <v>5400</v>
      </c>
      <c r="FD66" s="1194"/>
      <c r="FE66" s="1087">
        <f t="shared" si="59"/>
        <v>5400</v>
      </c>
      <c r="FG66" s="1079" t="s">
        <v>456</v>
      </c>
      <c r="FH66" s="1088"/>
      <c r="FI66" s="1194"/>
      <c r="FJ66" s="1194"/>
      <c r="FK66" s="1194"/>
      <c r="FL66" s="1194">
        <f>7900</f>
        <v>7900</v>
      </c>
      <c r="FM66" s="1194"/>
      <c r="FN66" s="1087">
        <f t="shared" si="60"/>
        <v>7900</v>
      </c>
      <c r="FP66" s="1079" t="s">
        <v>456</v>
      </c>
      <c r="FQ66" s="1088"/>
      <c r="FR66" s="1194"/>
      <c r="FS66" s="1194"/>
      <c r="FT66" s="1194"/>
      <c r="FU66" s="1194">
        <f>9900</f>
        <v>9900</v>
      </c>
      <c r="FV66" s="1194"/>
      <c r="FW66" s="1087">
        <f t="shared" si="77"/>
        <v>9900</v>
      </c>
      <c r="FY66" s="1079" t="s">
        <v>455</v>
      </c>
      <c r="FZ66" s="1088"/>
      <c r="GA66" s="1194"/>
      <c r="GB66" s="1194"/>
      <c r="GC66" s="1194"/>
      <c r="GD66" s="1194">
        <v>3000</v>
      </c>
      <c r="GE66" s="1194"/>
      <c r="GF66" s="1087">
        <f t="shared" si="61"/>
        <v>3000</v>
      </c>
      <c r="GH66" s="1079" t="s">
        <v>455</v>
      </c>
      <c r="GI66" s="1088"/>
      <c r="GJ66" s="1194"/>
      <c r="GK66" s="1194"/>
      <c r="GL66" s="1194"/>
      <c r="GM66" s="1194">
        <f>3000+2300</f>
        <v>5300</v>
      </c>
      <c r="GN66" s="1194"/>
      <c r="GO66" s="1087">
        <f t="shared" si="62"/>
        <v>5300</v>
      </c>
      <c r="GQ66" s="1079" t="s">
        <v>455</v>
      </c>
      <c r="GR66" s="1088"/>
      <c r="GS66" s="1194"/>
      <c r="GT66" s="1194"/>
      <c r="GU66" s="1194"/>
      <c r="GV66" s="1194">
        <f>3000+2300+2500</f>
        <v>7800</v>
      </c>
      <c r="GW66" s="1194"/>
      <c r="GX66" s="1087">
        <f t="shared" si="63"/>
        <v>7800</v>
      </c>
      <c r="GZ66" s="1079" t="s">
        <v>455</v>
      </c>
      <c r="HA66" s="1088"/>
      <c r="HB66" s="1194"/>
      <c r="HC66" s="1194"/>
      <c r="HD66" s="1194"/>
      <c r="HE66" s="1194">
        <f>7800</f>
        <v>7800</v>
      </c>
      <c r="HF66" s="1194"/>
      <c r="HG66" s="1087">
        <f t="shared" si="78"/>
        <v>7800</v>
      </c>
      <c r="HI66" s="1079" t="s">
        <v>455</v>
      </c>
      <c r="HJ66" s="1088"/>
      <c r="HK66" s="1194"/>
      <c r="HL66" s="1194"/>
      <c r="HM66" s="1194"/>
      <c r="HN66" s="1194">
        <f>7800</f>
        <v>7800</v>
      </c>
      <c r="HO66" s="1194"/>
      <c r="HP66" s="1087">
        <f t="shared" si="79"/>
        <v>7800</v>
      </c>
      <c r="HR66" s="1079" t="s">
        <v>454</v>
      </c>
      <c r="HS66" s="1088"/>
      <c r="HT66" s="1194"/>
      <c r="HU66" s="1194"/>
      <c r="HV66" s="1194"/>
      <c r="HW66" s="1194">
        <f>4200+2300</f>
        <v>6500</v>
      </c>
      <c r="HX66" s="1194"/>
      <c r="HY66" s="1087">
        <f t="shared" si="64"/>
        <v>6500</v>
      </c>
      <c r="IA66" s="1079" t="s">
        <v>454</v>
      </c>
      <c r="IB66" s="1088"/>
      <c r="IC66" s="1194"/>
      <c r="ID66" s="1194"/>
      <c r="IE66" s="1194"/>
      <c r="IF66" s="1194">
        <f>8800-3</f>
        <v>8797</v>
      </c>
      <c r="IG66" s="1194"/>
      <c r="IH66" s="1087">
        <f t="shared" si="65"/>
        <v>8797</v>
      </c>
      <c r="IJ66" s="1079" t="s">
        <v>454</v>
      </c>
      <c r="IK66" s="1088"/>
      <c r="IL66" s="1194"/>
      <c r="IM66" s="1194"/>
      <c r="IN66" s="1194"/>
      <c r="IO66" s="1194">
        <f>8800-3-1</f>
        <v>8796</v>
      </c>
      <c r="IP66" s="1194"/>
      <c r="IQ66" s="1087">
        <f t="shared" si="80"/>
        <v>8796</v>
      </c>
    </row>
    <row r="67" spans="2:251" ht="18.5" hidden="1" x14ac:dyDescent="0.35">
      <c r="B67" s="1058" t="s">
        <v>457</v>
      </c>
      <c r="C67" s="1085"/>
      <c r="D67" s="1060"/>
      <c r="E67" s="1060"/>
      <c r="F67" s="1060"/>
      <c r="G67" s="1060">
        <v>3000</v>
      </c>
      <c r="H67" s="1060"/>
      <c r="I67" s="1059">
        <f t="shared" si="66"/>
        <v>3000</v>
      </c>
      <c r="K67" s="1058" t="s">
        <v>457</v>
      </c>
      <c r="L67" s="1085"/>
      <c r="M67" s="1060"/>
      <c r="N67" s="1060"/>
      <c r="O67" s="1060"/>
      <c r="P67" s="1060">
        <v>3000</v>
      </c>
      <c r="Q67" s="1060"/>
      <c r="R67" s="1059">
        <f t="shared" si="67"/>
        <v>3000</v>
      </c>
      <c r="T67" s="1067" t="s">
        <v>461</v>
      </c>
      <c r="U67" s="1085"/>
      <c r="V67" s="1060"/>
      <c r="W67" s="1060"/>
      <c r="X67" s="1060"/>
      <c r="Y67" s="1060">
        <f>1500</f>
        <v>1500</v>
      </c>
      <c r="Z67" s="1060">
        <v>600</v>
      </c>
      <c r="AA67" s="1059">
        <f t="shared" si="68"/>
        <v>2100</v>
      </c>
      <c r="AC67" s="1058" t="s">
        <v>457</v>
      </c>
      <c r="AD67" s="1085"/>
      <c r="AE67" s="1060"/>
      <c r="AF67" s="1060"/>
      <c r="AG67" s="1060"/>
      <c r="AH67" s="1060">
        <v>3000</v>
      </c>
      <c r="AI67" s="1060"/>
      <c r="AJ67" s="1059">
        <f t="shared" si="69"/>
        <v>3000</v>
      </c>
      <c r="AL67" s="1067" t="s">
        <v>460</v>
      </c>
      <c r="AM67" s="1085"/>
      <c r="AN67" s="1060"/>
      <c r="AO67" s="1060"/>
      <c r="AP67" s="1060"/>
      <c r="AQ67" s="1060">
        <f>1500</f>
        <v>1500</v>
      </c>
      <c r="AR67" s="1060">
        <v>1200</v>
      </c>
      <c r="AS67" s="1059">
        <f t="shared" si="70"/>
        <v>2700</v>
      </c>
      <c r="AU67" s="1067" t="s">
        <v>459</v>
      </c>
      <c r="AV67" s="1085"/>
      <c r="AW67" s="1060"/>
      <c r="AX67" s="1060"/>
      <c r="AY67" s="1060"/>
      <c r="AZ67" s="1060">
        <v>1800</v>
      </c>
      <c r="BA67" s="1060"/>
      <c r="BB67" s="1059">
        <f t="shared" si="71"/>
        <v>1800</v>
      </c>
      <c r="BD67" s="1067" t="s">
        <v>457</v>
      </c>
      <c r="BE67" s="1085"/>
      <c r="BF67" s="1060"/>
      <c r="BG67" s="1060"/>
      <c r="BH67" s="1060"/>
      <c r="BI67" s="1060">
        <v>3000</v>
      </c>
      <c r="BJ67" s="1060"/>
      <c r="BK67" s="1059">
        <f t="shared" si="53"/>
        <v>3000</v>
      </c>
      <c r="BL67" s="1067" t="s">
        <v>459</v>
      </c>
      <c r="BM67" s="1085"/>
      <c r="BN67" s="1060"/>
      <c r="BO67" s="1060"/>
      <c r="BP67" s="1060"/>
      <c r="BQ67" s="1060">
        <v>1800</v>
      </c>
      <c r="BR67" s="1060">
        <v>600</v>
      </c>
      <c r="BS67" s="1059">
        <f t="shared" si="72"/>
        <v>2400</v>
      </c>
      <c r="BU67" s="1067" t="s">
        <v>457</v>
      </c>
      <c r="BV67" s="1085"/>
      <c r="BW67" s="1060"/>
      <c r="BX67" s="1060"/>
      <c r="BY67" s="1060"/>
      <c r="BZ67" s="1060">
        <v>3000</v>
      </c>
      <c r="CA67" s="1060"/>
      <c r="CB67" s="1059">
        <f t="shared" si="54"/>
        <v>3000</v>
      </c>
      <c r="CD67" s="1067" t="s">
        <v>457</v>
      </c>
      <c r="CE67" s="1085"/>
      <c r="CF67" s="1060"/>
      <c r="CG67" s="1060"/>
      <c r="CH67" s="1060"/>
      <c r="CI67" s="1060">
        <f>3000</f>
        <v>3000</v>
      </c>
      <c r="CJ67" s="1060"/>
      <c r="CK67" s="1059">
        <f t="shared" si="55"/>
        <v>3000</v>
      </c>
      <c r="CM67" s="1081" t="s">
        <v>457</v>
      </c>
      <c r="CN67" s="1088"/>
      <c r="CO67" s="1194"/>
      <c r="CP67" s="1194"/>
      <c r="CQ67" s="1194"/>
      <c r="CR67" s="1194">
        <f>3000</f>
        <v>3000</v>
      </c>
      <c r="CS67" s="1194"/>
      <c r="CT67" s="1087">
        <f t="shared" si="56"/>
        <v>3000</v>
      </c>
      <c r="CV67" s="1080" t="s">
        <v>457</v>
      </c>
      <c r="CW67" s="1088"/>
      <c r="CX67" s="1194"/>
      <c r="CY67" s="1194"/>
      <c r="CZ67" s="1194"/>
      <c r="DA67" s="1194">
        <f>3000</f>
        <v>3000</v>
      </c>
      <c r="DB67" s="1194"/>
      <c r="DC67" s="1087">
        <f t="shared" si="73"/>
        <v>3000</v>
      </c>
      <c r="DE67" s="1079" t="s">
        <v>457</v>
      </c>
      <c r="DF67" s="1088"/>
      <c r="DG67" s="1194"/>
      <c r="DH67" s="1194"/>
      <c r="DI67" s="1194"/>
      <c r="DJ67" s="1194">
        <v>3000</v>
      </c>
      <c r="DK67" s="1194"/>
      <c r="DL67" s="1087">
        <f t="shared" si="74"/>
        <v>3000</v>
      </c>
      <c r="DN67" s="1079" t="s">
        <v>457</v>
      </c>
      <c r="DO67" s="1088"/>
      <c r="DP67" s="1194"/>
      <c r="DQ67" s="1194"/>
      <c r="DR67" s="1194"/>
      <c r="DS67" s="1194">
        <v>3000</v>
      </c>
      <c r="DT67" s="1194"/>
      <c r="DU67" s="1087">
        <f t="shared" si="75"/>
        <v>3000</v>
      </c>
      <c r="DW67" s="1079" t="s">
        <v>456</v>
      </c>
      <c r="DX67" s="1088"/>
      <c r="DY67" s="1194"/>
      <c r="DZ67" s="1194"/>
      <c r="EA67" s="1194"/>
      <c r="EB67" s="1194">
        <v>3400</v>
      </c>
      <c r="EC67" s="1194"/>
      <c r="ED67" s="1087">
        <f t="shared" si="57"/>
        <v>3400</v>
      </c>
      <c r="EF67" s="1079" t="s">
        <v>456</v>
      </c>
      <c r="EG67" s="1088"/>
      <c r="EH67" s="1194"/>
      <c r="EI67" s="1194"/>
      <c r="EJ67" s="1194"/>
      <c r="EK67" s="1194">
        <v>3400</v>
      </c>
      <c r="EL67" s="1194"/>
      <c r="EM67" s="1087">
        <f t="shared" si="76"/>
        <v>3400</v>
      </c>
      <c r="EO67" s="1079" t="s">
        <v>455</v>
      </c>
      <c r="EP67" s="1088"/>
      <c r="EQ67" s="1194"/>
      <c r="ER67" s="1194"/>
      <c r="ES67" s="1194"/>
      <c r="ET67" s="1194">
        <v>3000</v>
      </c>
      <c r="EU67" s="1194"/>
      <c r="EV67" s="1087">
        <f t="shared" si="58"/>
        <v>3000</v>
      </c>
      <c r="EX67" s="1079" t="s">
        <v>455</v>
      </c>
      <c r="EY67" s="1088"/>
      <c r="EZ67" s="1194"/>
      <c r="FA67" s="1194"/>
      <c r="FB67" s="1194"/>
      <c r="FC67" s="1194">
        <v>3000</v>
      </c>
      <c r="FD67" s="1194"/>
      <c r="FE67" s="1087">
        <f t="shared" si="59"/>
        <v>3000</v>
      </c>
      <c r="FG67" s="1079" t="s">
        <v>455</v>
      </c>
      <c r="FH67" s="1088"/>
      <c r="FI67" s="1194"/>
      <c r="FJ67" s="1194"/>
      <c r="FK67" s="1194"/>
      <c r="FL67" s="1194">
        <v>3000</v>
      </c>
      <c r="FM67" s="1194"/>
      <c r="FN67" s="1087">
        <f t="shared" si="60"/>
        <v>3000</v>
      </c>
      <c r="FP67" s="1079" t="s">
        <v>455</v>
      </c>
      <c r="FQ67" s="1088"/>
      <c r="FR67" s="1194"/>
      <c r="FS67" s="1194"/>
      <c r="FT67" s="1194"/>
      <c r="FU67" s="1194">
        <v>3000</v>
      </c>
      <c r="FV67" s="1194"/>
      <c r="FW67" s="1087">
        <f t="shared" si="77"/>
        <v>3000</v>
      </c>
      <c r="FY67" s="1079" t="s">
        <v>454</v>
      </c>
      <c r="FZ67" s="1088"/>
      <c r="GA67" s="1194"/>
      <c r="GB67" s="1194"/>
      <c r="GC67" s="1194"/>
      <c r="GD67" s="1194">
        <v>4200</v>
      </c>
      <c r="GE67" s="1194"/>
      <c r="GF67" s="1087">
        <f t="shared" si="61"/>
        <v>4200</v>
      </c>
      <c r="GH67" s="1079" t="s">
        <v>454</v>
      </c>
      <c r="GI67" s="1088"/>
      <c r="GJ67" s="1194"/>
      <c r="GK67" s="1194"/>
      <c r="GL67" s="1194"/>
      <c r="GM67" s="1194">
        <v>4200</v>
      </c>
      <c r="GN67" s="1194"/>
      <c r="GO67" s="1087">
        <f t="shared" si="62"/>
        <v>4200</v>
      </c>
      <c r="GQ67" s="1079" t="s">
        <v>454</v>
      </c>
      <c r="GR67" s="1088"/>
      <c r="GS67" s="1194"/>
      <c r="GT67" s="1194"/>
      <c r="GU67" s="1194"/>
      <c r="GV67" s="1194">
        <v>4200</v>
      </c>
      <c r="GW67" s="1194"/>
      <c r="GX67" s="1087">
        <f t="shared" si="63"/>
        <v>4200</v>
      </c>
      <c r="GZ67" s="1079" t="s">
        <v>454</v>
      </c>
      <c r="HA67" s="1088"/>
      <c r="HB67" s="1194"/>
      <c r="HC67" s="1194"/>
      <c r="HD67" s="1194"/>
      <c r="HE67" s="1194">
        <v>4200</v>
      </c>
      <c r="HF67" s="1194"/>
      <c r="HG67" s="1087">
        <f t="shared" si="78"/>
        <v>4200</v>
      </c>
      <c r="HI67" s="1079" t="s">
        <v>454</v>
      </c>
      <c r="HJ67" s="1088"/>
      <c r="HK67" s="1194"/>
      <c r="HL67" s="1194"/>
      <c r="HM67" s="1194"/>
      <c r="HN67" s="1194">
        <f>4200+2300</f>
        <v>6500</v>
      </c>
      <c r="HO67" s="1194"/>
      <c r="HP67" s="1087">
        <f t="shared" si="79"/>
        <v>6500</v>
      </c>
      <c r="HR67" s="1079" t="s">
        <v>453</v>
      </c>
      <c r="HS67" s="1088"/>
      <c r="HT67" s="1194"/>
      <c r="HU67" s="1194"/>
      <c r="HV67" s="1194"/>
      <c r="HW67" s="1194">
        <f>3800+6154-30</f>
        <v>9924</v>
      </c>
      <c r="HX67" s="1194"/>
      <c r="HY67" s="1087">
        <f t="shared" si="64"/>
        <v>9924</v>
      </c>
      <c r="IA67" s="1079" t="s">
        <v>453</v>
      </c>
      <c r="IB67" s="1088"/>
      <c r="IC67" s="1194"/>
      <c r="ID67" s="1194"/>
      <c r="IE67" s="1194"/>
      <c r="IF67" s="1194">
        <f>3800+6099-30</f>
        <v>9869</v>
      </c>
      <c r="IG67" s="1194"/>
      <c r="IH67" s="1087">
        <f t="shared" si="65"/>
        <v>9869</v>
      </c>
      <c r="IJ67" s="1079" t="s">
        <v>453</v>
      </c>
      <c r="IK67" s="1088"/>
      <c r="IL67" s="1194"/>
      <c r="IM67" s="1194"/>
      <c r="IN67" s="1194"/>
      <c r="IO67" s="1194">
        <f>3800+6052-30</f>
        <v>9822</v>
      </c>
      <c r="IP67" s="1194"/>
      <c r="IQ67" s="1087">
        <f t="shared" si="80"/>
        <v>9822</v>
      </c>
    </row>
    <row r="68" spans="2:251" ht="18.5" hidden="1" x14ac:dyDescent="0.35">
      <c r="B68" s="1058" t="s">
        <v>456</v>
      </c>
      <c r="C68" s="1085"/>
      <c r="D68" s="1060"/>
      <c r="E68" s="1060"/>
      <c r="F68" s="1060"/>
      <c r="G68" s="1060">
        <f>1500+1900</f>
        <v>3400</v>
      </c>
      <c r="H68" s="1060"/>
      <c r="I68" s="1059">
        <f t="shared" si="66"/>
        <v>3400</v>
      </c>
      <c r="K68" s="1058" t="s">
        <v>456</v>
      </c>
      <c r="L68" s="1085"/>
      <c r="M68" s="1060"/>
      <c r="N68" s="1060"/>
      <c r="O68" s="1060"/>
      <c r="P68" s="1060">
        <f>1500+1900</f>
        <v>3400</v>
      </c>
      <c r="Q68" s="1060"/>
      <c r="R68" s="1059">
        <f t="shared" si="67"/>
        <v>3400</v>
      </c>
      <c r="T68" s="1067" t="s">
        <v>460</v>
      </c>
      <c r="U68" s="1085"/>
      <c r="V68" s="1060"/>
      <c r="W68" s="1060"/>
      <c r="X68" s="1060"/>
      <c r="Y68" s="1060">
        <v>1500</v>
      </c>
      <c r="Z68" s="1060"/>
      <c r="AA68" s="1059">
        <f t="shared" si="68"/>
        <v>1500</v>
      </c>
      <c r="AC68" s="1058" t="s">
        <v>456</v>
      </c>
      <c r="AD68" s="1085"/>
      <c r="AE68" s="1060"/>
      <c r="AF68" s="1060"/>
      <c r="AG68" s="1060"/>
      <c r="AH68" s="1060">
        <f>1500+1900</f>
        <v>3400</v>
      </c>
      <c r="AI68" s="1060"/>
      <c r="AJ68" s="1059">
        <f t="shared" si="69"/>
        <v>3400</v>
      </c>
      <c r="AL68" s="1067" t="s">
        <v>457</v>
      </c>
      <c r="AM68" s="1085"/>
      <c r="AN68" s="1060"/>
      <c r="AO68" s="1060"/>
      <c r="AP68" s="1060"/>
      <c r="AQ68" s="1060">
        <v>3000</v>
      </c>
      <c r="AR68" s="1060"/>
      <c r="AS68" s="1059">
        <f t="shared" si="70"/>
        <v>3000</v>
      </c>
      <c r="AU68" s="1067" t="s">
        <v>457</v>
      </c>
      <c r="AV68" s="1085"/>
      <c r="AW68" s="1060"/>
      <c r="AX68" s="1060"/>
      <c r="AY68" s="1060"/>
      <c r="AZ68" s="1060">
        <v>3000</v>
      </c>
      <c r="BA68" s="1060"/>
      <c r="BB68" s="1059">
        <f t="shared" si="71"/>
        <v>3000</v>
      </c>
      <c r="BD68" s="1067" t="s">
        <v>456</v>
      </c>
      <c r="BE68" s="1085"/>
      <c r="BF68" s="1060"/>
      <c r="BG68" s="1060"/>
      <c r="BH68" s="1060"/>
      <c r="BI68" s="1060">
        <f>1500+1900</f>
        <v>3400</v>
      </c>
      <c r="BJ68" s="1060"/>
      <c r="BK68" s="1059">
        <f t="shared" si="53"/>
        <v>3400</v>
      </c>
      <c r="BL68" s="1067" t="s">
        <v>457</v>
      </c>
      <c r="BM68" s="1085"/>
      <c r="BN68" s="1060"/>
      <c r="BO68" s="1060"/>
      <c r="BP68" s="1060"/>
      <c r="BQ68" s="1060">
        <v>3000</v>
      </c>
      <c r="BR68" s="1060"/>
      <c r="BS68" s="1059">
        <f t="shared" si="72"/>
        <v>3000</v>
      </c>
      <c r="BU68" s="1067" t="s">
        <v>456</v>
      </c>
      <c r="BV68" s="1085"/>
      <c r="BW68" s="1060"/>
      <c r="BX68" s="1060"/>
      <c r="BY68" s="1060"/>
      <c r="BZ68" s="1060">
        <f>1500+1900</f>
        <v>3400</v>
      </c>
      <c r="CA68" s="1060"/>
      <c r="CB68" s="1059">
        <f t="shared" si="54"/>
        <v>3400</v>
      </c>
      <c r="CD68" s="1067" t="s">
        <v>456</v>
      </c>
      <c r="CE68" s="1085"/>
      <c r="CF68" s="1060"/>
      <c r="CG68" s="1060"/>
      <c r="CH68" s="1060"/>
      <c r="CI68" s="1060">
        <f>1500+1900</f>
        <v>3400</v>
      </c>
      <c r="CJ68" s="1060"/>
      <c r="CK68" s="1059">
        <f t="shared" si="55"/>
        <v>3400</v>
      </c>
      <c r="CM68" s="1081" t="s">
        <v>456</v>
      </c>
      <c r="CN68" s="1088"/>
      <c r="CO68" s="1194"/>
      <c r="CP68" s="1194"/>
      <c r="CQ68" s="1194"/>
      <c r="CR68" s="1194">
        <f>1500+1900</f>
        <v>3400</v>
      </c>
      <c r="CS68" s="1194"/>
      <c r="CT68" s="1087">
        <f t="shared" si="56"/>
        <v>3400</v>
      </c>
      <c r="CV68" s="1080" t="s">
        <v>456</v>
      </c>
      <c r="CW68" s="1088"/>
      <c r="CX68" s="1194"/>
      <c r="CY68" s="1194"/>
      <c r="CZ68" s="1194"/>
      <c r="DA68" s="1194">
        <f>1500+1900</f>
        <v>3400</v>
      </c>
      <c r="DB68" s="1194"/>
      <c r="DC68" s="1087">
        <f t="shared" si="73"/>
        <v>3400</v>
      </c>
      <c r="DE68" s="1079" t="s">
        <v>456</v>
      </c>
      <c r="DF68" s="1088"/>
      <c r="DG68" s="1194"/>
      <c r="DH68" s="1194"/>
      <c r="DI68" s="1194"/>
      <c r="DJ68" s="1194">
        <v>3400</v>
      </c>
      <c r="DK68" s="1194"/>
      <c r="DL68" s="1087">
        <f t="shared" si="74"/>
        <v>3400</v>
      </c>
      <c r="DN68" s="1079" t="s">
        <v>456</v>
      </c>
      <c r="DO68" s="1088"/>
      <c r="DP68" s="1194"/>
      <c r="DQ68" s="1194"/>
      <c r="DR68" s="1194"/>
      <c r="DS68" s="1194">
        <v>3400</v>
      </c>
      <c r="DT68" s="1194"/>
      <c r="DU68" s="1087">
        <f t="shared" si="75"/>
        <v>3400</v>
      </c>
      <c r="DW68" s="1079" t="s">
        <v>455</v>
      </c>
      <c r="DX68" s="1088"/>
      <c r="DY68" s="1194"/>
      <c r="DZ68" s="1194"/>
      <c r="EA68" s="1194"/>
      <c r="EB68" s="1194">
        <v>3000</v>
      </c>
      <c r="EC68" s="1194"/>
      <c r="ED68" s="1087">
        <f t="shared" si="57"/>
        <v>3000</v>
      </c>
      <c r="EF68" s="1079" t="s">
        <v>455</v>
      </c>
      <c r="EG68" s="1088"/>
      <c r="EH68" s="1194"/>
      <c r="EI68" s="1194"/>
      <c r="EJ68" s="1194"/>
      <c r="EK68" s="1194">
        <v>3000</v>
      </c>
      <c r="EL68" s="1194"/>
      <c r="EM68" s="1087">
        <f t="shared" si="76"/>
        <v>3000</v>
      </c>
      <c r="EO68" s="1079" t="s">
        <v>454</v>
      </c>
      <c r="EP68" s="1088"/>
      <c r="EQ68" s="1194"/>
      <c r="ER68" s="1194"/>
      <c r="ES68" s="1194"/>
      <c r="ET68" s="1194">
        <v>4200</v>
      </c>
      <c r="EU68" s="1194"/>
      <c r="EV68" s="1087">
        <f t="shared" si="58"/>
        <v>4200</v>
      </c>
      <c r="EX68" s="1079" t="s">
        <v>454</v>
      </c>
      <c r="EY68" s="1088"/>
      <c r="EZ68" s="1194"/>
      <c r="FA68" s="1194"/>
      <c r="FB68" s="1194"/>
      <c r="FC68" s="1194">
        <v>4200</v>
      </c>
      <c r="FD68" s="1194"/>
      <c r="FE68" s="1087">
        <f t="shared" si="59"/>
        <v>4200</v>
      </c>
      <c r="FG68" s="1079" t="s">
        <v>454</v>
      </c>
      <c r="FH68" s="1088"/>
      <c r="FI68" s="1194"/>
      <c r="FJ68" s="1194"/>
      <c r="FK68" s="1194"/>
      <c r="FL68" s="1194">
        <v>4200</v>
      </c>
      <c r="FM68" s="1194"/>
      <c r="FN68" s="1087">
        <f t="shared" si="60"/>
        <v>4200</v>
      </c>
      <c r="FP68" s="1079" t="s">
        <v>454</v>
      </c>
      <c r="FQ68" s="1088"/>
      <c r="FR68" s="1194"/>
      <c r="FS68" s="1194"/>
      <c r="FT68" s="1194"/>
      <c r="FU68" s="1194">
        <v>4200</v>
      </c>
      <c r="FV68" s="1194"/>
      <c r="FW68" s="1087">
        <f t="shared" si="77"/>
        <v>4200</v>
      </c>
      <c r="FY68" s="1079" t="s">
        <v>453</v>
      </c>
      <c r="FZ68" s="1088"/>
      <c r="GA68" s="1194"/>
      <c r="GB68" s="1194"/>
      <c r="GC68" s="1194"/>
      <c r="GD68" s="1194">
        <f>3800+6378</f>
        <v>10178</v>
      </c>
      <c r="GE68" s="1194"/>
      <c r="GF68" s="1087">
        <f t="shared" si="61"/>
        <v>10178</v>
      </c>
      <c r="GH68" s="1079" t="s">
        <v>453</v>
      </c>
      <c r="GI68" s="1088"/>
      <c r="GJ68" s="1194"/>
      <c r="GK68" s="1194"/>
      <c r="GL68" s="1194"/>
      <c r="GM68" s="1194">
        <f>3800+6341</f>
        <v>10141</v>
      </c>
      <c r="GN68" s="1194"/>
      <c r="GO68" s="1087">
        <f t="shared" si="62"/>
        <v>10141</v>
      </c>
      <c r="GQ68" s="1079" t="s">
        <v>453</v>
      </c>
      <c r="GR68" s="1088"/>
      <c r="GS68" s="1194"/>
      <c r="GT68" s="1194"/>
      <c r="GU68" s="1194"/>
      <c r="GV68" s="1194">
        <f>3800+6310</f>
        <v>10110</v>
      </c>
      <c r="GW68" s="1194"/>
      <c r="GX68" s="1087">
        <f t="shared" si="63"/>
        <v>10110</v>
      </c>
      <c r="GZ68" s="1079" t="s">
        <v>453</v>
      </c>
      <c r="HA68" s="1088"/>
      <c r="HB68" s="1194"/>
      <c r="HC68" s="1194"/>
      <c r="HD68" s="1194"/>
      <c r="HE68" s="1194">
        <f>3800+6246</f>
        <v>10046</v>
      </c>
      <c r="HF68" s="1194"/>
      <c r="HG68" s="1087">
        <f t="shared" si="78"/>
        <v>10046</v>
      </c>
      <c r="HI68" s="1079" t="s">
        <v>453</v>
      </c>
      <c r="HJ68" s="1088"/>
      <c r="HK68" s="1194"/>
      <c r="HL68" s="1194"/>
      <c r="HM68" s="1194"/>
      <c r="HN68" s="1194">
        <f>3800+6204-30</f>
        <v>9974</v>
      </c>
      <c r="HO68" s="1194"/>
      <c r="HP68" s="1087">
        <f t="shared" si="79"/>
        <v>9974</v>
      </c>
      <c r="HR68" s="1079" t="s">
        <v>452</v>
      </c>
      <c r="HS68" s="1088"/>
      <c r="HT68" s="1194"/>
      <c r="HU68" s="1194"/>
      <c r="HV68" s="1194"/>
      <c r="HW68" s="1194">
        <f>4800-50</f>
        <v>4750</v>
      </c>
      <c r="HX68" s="1194"/>
      <c r="HY68" s="1087">
        <f t="shared" si="64"/>
        <v>4750</v>
      </c>
      <c r="IA68" s="1079" t="s">
        <v>452</v>
      </c>
      <c r="IB68" s="1088"/>
      <c r="IC68" s="1194"/>
      <c r="ID68" s="1194"/>
      <c r="IE68" s="1194"/>
      <c r="IF68" s="1194">
        <f>4800-50</f>
        <v>4750</v>
      </c>
      <c r="IG68" s="1194"/>
      <c r="IH68" s="1087">
        <f t="shared" si="65"/>
        <v>4750</v>
      </c>
      <c r="IJ68" s="1079" t="s">
        <v>452</v>
      </c>
      <c r="IK68" s="1088"/>
      <c r="IL68" s="1194"/>
      <c r="IM68" s="1194"/>
      <c r="IN68" s="1194"/>
      <c r="IO68" s="1194">
        <f>4800-50</f>
        <v>4750</v>
      </c>
      <c r="IP68" s="1194"/>
      <c r="IQ68" s="1087">
        <f t="shared" si="80"/>
        <v>4750</v>
      </c>
    </row>
    <row r="69" spans="2:251" ht="18.5" hidden="1" x14ac:dyDescent="0.35">
      <c r="B69" s="1058" t="s">
        <v>455</v>
      </c>
      <c r="C69" s="1085"/>
      <c r="D69" s="1060"/>
      <c r="E69" s="1060"/>
      <c r="F69" s="1061"/>
      <c r="G69" s="1061">
        <v>1500</v>
      </c>
      <c r="H69" s="1060"/>
      <c r="I69" s="1059">
        <f t="shared" si="66"/>
        <v>1500</v>
      </c>
      <c r="K69" s="1058" t="s">
        <v>455</v>
      </c>
      <c r="L69" s="1085"/>
      <c r="M69" s="1060"/>
      <c r="N69" s="1060"/>
      <c r="O69" s="1061"/>
      <c r="P69" s="1060">
        <v>1500</v>
      </c>
      <c r="Q69" s="1061"/>
      <c r="R69" s="1059">
        <f t="shared" si="67"/>
        <v>1500</v>
      </c>
      <c r="T69" s="1058" t="s">
        <v>457</v>
      </c>
      <c r="U69" s="1085"/>
      <c r="V69" s="1060"/>
      <c r="W69" s="1060"/>
      <c r="X69" s="1060"/>
      <c r="Y69" s="1060">
        <v>3000</v>
      </c>
      <c r="Z69" s="1060"/>
      <c r="AA69" s="1059">
        <f t="shared" si="68"/>
        <v>3000</v>
      </c>
      <c r="AC69" s="1058" t="s">
        <v>455</v>
      </c>
      <c r="AD69" s="1086"/>
      <c r="AE69" s="1060"/>
      <c r="AF69" s="1061"/>
      <c r="AG69" s="1061"/>
      <c r="AH69" s="1061">
        <f>1500+1500</f>
        <v>3000</v>
      </c>
      <c r="AI69" s="1060"/>
      <c r="AJ69" s="1059">
        <f t="shared" si="69"/>
        <v>3000</v>
      </c>
      <c r="AL69" s="1067" t="s">
        <v>456</v>
      </c>
      <c r="AM69" s="1085"/>
      <c r="AN69" s="1060"/>
      <c r="AO69" s="1060"/>
      <c r="AP69" s="1060"/>
      <c r="AQ69" s="1060">
        <f>1500+1900</f>
        <v>3400</v>
      </c>
      <c r="AR69" s="1060"/>
      <c r="AS69" s="1059">
        <f t="shared" si="70"/>
        <v>3400</v>
      </c>
      <c r="AU69" s="1067" t="s">
        <v>456</v>
      </c>
      <c r="AV69" s="1085"/>
      <c r="AW69" s="1060"/>
      <c r="AX69" s="1060"/>
      <c r="AY69" s="1060"/>
      <c r="AZ69" s="1060">
        <f>1500+1900</f>
        <v>3400</v>
      </c>
      <c r="BA69" s="1060"/>
      <c r="BB69" s="1059">
        <f t="shared" si="71"/>
        <v>3400</v>
      </c>
      <c r="BD69" s="1067" t="s">
        <v>455</v>
      </c>
      <c r="BE69" s="1085"/>
      <c r="BF69" s="1060"/>
      <c r="BG69" s="1060"/>
      <c r="BH69" s="1060"/>
      <c r="BI69" s="1060">
        <f>1500+1500</f>
        <v>3000</v>
      </c>
      <c r="BJ69" s="1060"/>
      <c r="BK69" s="1059">
        <f t="shared" si="53"/>
        <v>3000</v>
      </c>
      <c r="BL69" s="1067" t="s">
        <v>456</v>
      </c>
      <c r="BM69" s="1085"/>
      <c r="BN69" s="1060"/>
      <c r="BO69" s="1060"/>
      <c r="BP69" s="1060"/>
      <c r="BQ69" s="1060">
        <f>1500+1900</f>
        <v>3400</v>
      </c>
      <c r="BR69" s="1060"/>
      <c r="BS69" s="1059">
        <f t="shared" si="72"/>
        <v>3400</v>
      </c>
      <c r="BU69" s="1067" t="s">
        <v>455</v>
      </c>
      <c r="BV69" s="1085"/>
      <c r="BW69" s="1060"/>
      <c r="BX69" s="1060"/>
      <c r="BY69" s="1060"/>
      <c r="BZ69" s="1060">
        <f>1500+1500</f>
        <v>3000</v>
      </c>
      <c r="CA69" s="1060"/>
      <c r="CB69" s="1059">
        <f t="shared" si="54"/>
        <v>3000</v>
      </c>
      <c r="CD69" s="1067" t="s">
        <v>455</v>
      </c>
      <c r="CE69" s="1085"/>
      <c r="CF69" s="1060"/>
      <c r="CG69" s="1060"/>
      <c r="CH69" s="1060"/>
      <c r="CI69" s="1060">
        <f>1500+1500</f>
        <v>3000</v>
      </c>
      <c r="CJ69" s="1060"/>
      <c r="CK69" s="1059">
        <f t="shared" si="55"/>
        <v>3000</v>
      </c>
      <c r="CM69" s="1081" t="s">
        <v>455</v>
      </c>
      <c r="CN69" s="1088"/>
      <c r="CO69" s="1194"/>
      <c r="CP69" s="1194"/>
      <c r="CQ69" s="1194"/>
      <c r="CR69" s="1194">
        <f>1500+1500</f>
        <v>3000</v>
      </c>
      <c r="CS69" s="1194"/>
      <c r="CT69" s="1087">
        <f t="shared" si="56"/>
        <v>3000</v>
      </c>
      <c r="CV69" s="1080" t="s">
        <v>455</v>
      </c>
      <c r="CW69" s="1088"/>
      <c r="CX69" s="1194"/>
      <c r="CY69" s="1194"/>
      <c r="CZ69" s="1194"/>
      <c r="DA69" s="1194">
        <f>1500+1500</f>
        <v>3000</v>
      </c>
      <c r="DB69" s="1194"/>
      <c r="DC69" s="1087">
        <f t="shared" si="73"/>
        <v>3000</v>
      </c>
      <c r="DE69" s="1079" t="s">
        <v>455</v>
      </c>
      <c r="DF69" s="1088"/>
      <c r="DG69" s="1194"/>
      <c r="DH69" s="1194"/>
      <c r="DI69" s="1194"/>
      <c r="DJ69" s="1194">
        <v>3000</v>
      </c>
      <c r="DK69" s="1194"/>
      <c r="DL69" s="1087">
        <f t="shared" si="74"/>
        <v>3000</v>
      </c>
      <c r="DN69" s="1079" t="s">
        <v>455</v>
      </c>
      <c r="DO69" s="1088"/>
      <c r="DP69" s="1194"/>
      <c r="DQ69" s="1194"/>
      <c r="DR69" s="1194"/>
      <c r="DS69" s="1194">
        <v>3000</v>
      </c>
      <c r="DT69" s="1194"/>
      <c r="DU69" s="1087">
        <f t="shared" si="75"/>
        <v>3000</v>
      </c>
      <c r="DW69" s="1079" t="s">
        <v>454</v>
      </c>
      <c r="DX69" s="1088"/>
      <c r="DY69" s="1194"/>
      <c r="DZ69" s="1194"/>
      <c r="EA69" s="1194"/>
      <c r="EB69" s="1194">
        <v>4200</v>
      </c>
      <c r="EC69" s="1194"/>
      <c r="ED69" s="1087">
        <f t="shared" si="57"/>
        <v>4200</v>
      </c>
      <c r="EF69" s="1079" t="s">
        <v>454</v>
      </c>
      <c r="EG69" s="1088"/>
      <c r="EH69" s="1194"/>
      <c r="EI69" s="1194"/>
      <c r="EJ69" s="1194"/>
      <c r="EK69" s="1194">
        <v>4200</v>
      </c>
      <c r="EL69" s="1194"/>
      <c r="EM69" s="1087">
        <f t="shared" si="76"/>
        <v>4200</v>
      </c>
      <c r="EO69" s="1079" t="s">
        <v>453</v>
      </c>
      <c r="EP69" s="1088"/>
      <c r="EQ69" s="1194"/>
      <c r="ER69" s="1194"/>
      <c r="ES69" s="1194"/>
      <c r="ET69" s="1194">
        <f>3800+6512-41</f>
        <v>10271</v>
      </c>
      <c r="EU69" s="1194"/>
      <c r="EV69" s="1087">
        <f t="shared" si="58"/>
        <v>10271</v>
      </c>
      <c r="EX69" s="1079" t="s">
        <v>453</v>
      </c>
      <c r="EY69" s="1088"/>
      <c r="EZ69" s="1194"/>
      <c r="FA69" s="1194"/>
      <c r="FB69" s="1194"/>
      <c r="FC69" s="1194">
        <f>3800+6489-30</f>
        <v>10259</v>
      </c>
      <c r="FD69" s="1194"/>
      <c r="FE69" s="1087">
        <f t="shared" si="59"/>
        <v>10259</v>
      </c>
      <c r="FG69" s="1079" t="s">
        <v>453</v>
      </c>
      <c r="FH69" s="1088"/>
      <c r="FI69" s="1194"/>
      <c r="FJ69" s="1194"/>
      <c r="FK69" s="1194"/>
      <c r="FL69" s="1194">
        <f>3800+6455-30</f>
        <v>10225</v>
      </c>
      <c r="FM69" s="1194"/>
      <c r="FN69" s="1087">
        <f t="shared" si="60"/>
        <v>10225</v>
      </c>
      <c r="FP69" s="1079" t="s">
        <v>453</v>
      </c>
      <c r="FQ69" s="1088"/>
      <c r="FR69" s="1194"/>
      <c r="FS69" s="1194"/>
      <c r="FT69" s="1194"/>
      <c r="FU69" s="1194">
        <f>3800+6414</f>
        <v>10214</v>
      </c>
      <c r="FV69" s="1194"/>
      <c r="FW69" s="1087">
        <f t="shared" si="77"/>
        <v>10214</v>
      </c>
      <c r="FY69" s="1079" t="s">
        <v>452</v>
      </c>
      <c r="FZ69" s="1088"/>
      <c r="GA69" s="1194"/>
      <c r="GB69" s="1194"/>
      <c r="GC69" s="1194"/>
      <c r="GD69" s="1194">
        <f>4800-80</f>
        <v>4720</v>
      </c>
      <c r="GE69" s="1194"/>
      <c r="GF69" s="1087">
        <f t="shared" si="61"/>
        <v>4720</v>
      </c>
      <c r="GH69" s="1079" t="s">
        <v>452</v>
      </c>
      <c r="GI69" s="1088"/>
      <c r="GJ69" s="1194"/>
      <c r="GK69" s="1194"/>
      <c r="GL69" s="1194"/>
      <c r="GM69" s="1194">
        <f>4800-80</f>
        <v>4720</v>
      </c>
      <c r="GN69" s="1194"/>
      <c r="GO69" s="1087">
        <f t="shared" si="62"/>
        <v>4720</v>
      </c>
      <c r="GQ69" s="1079" t="s">
        <v>452</v>
      </c>
      <c r="GR69" s="1088"/>
      <c r="GS69" s="1194"/>
      <c r="GT69" s="1194"/>
      <c r="GU69" s="1194"/>
      <c r="GV69" s="1194">
        <f>4800-80</f>
        <v>4720</v>
      </c>
      <c r="GW69" s="1194"/>
      <c r="GX69" s="1087">
        <f t="shared" si="63"/>
        <v>4720</v>
      </c>
      <c r="GZ69" s="1079" t="s">
        <v>452</v>
      </c>
      <c r="HA69" s="1088"/>
      <c r="HB69" s="1194"/>
      <c r="HC69" s="1194"/>
      <c r="HD69" s="1194"/>
      <c r="HE69" s="1194">
        <f>4800-80</f>
        <v>4720</v>
      </c>
      <c r="HF69" s="1194"/>
      <c r="HG69" s="1087">
        <f t="shared" si="78"/>
        <v>4720</v>
      </c>
      <c r="HI69" s="1079" t="s">
        <v>452</v>
      </c>
      <c r="HJ69" s="1088"/>
      <c r="HK69" s="1194"/>
      <c r="HL69" s="1194"/>
      <c r="HM69" s="1194"/>
      <c r="HN69" s="1194">
        <f>4800-50</f>
        <v>4750</v>
      </c>
      <c r="HO69" s="1194"/>
      <c r="HP69" s="1087">
        <f t="shared" si="79"/>
        <v>4750</v>
      </c>
      <c r="HR69" s="1079" t="s">
        <v>451</v>
      </c>
      <c r="HS69" s="1088"/>
      <c r="HT69" s="1194"/>
      <c r="HU69" s="1194"/>
      <c r="HV69" s="1194"/>
      <c r="HW69" s="1194">
        <v>7000</v>
      </c>
      <c r="HX69" s="1194"/>
      <c r="HY69" s="1087">
        <f t="shared" si="64"/>
        <v>7000</v>
      </c>
      <c r="IA69" s="1079" t="s">
        <v>451</v>
      </c>
      <c r="IB69" s="1088"/>
      <c r="IC69" s="1194"/>
      <c r="ID69" s="1194"/>
      <c r="IE69" s="1194"/>
      <c r="IF69" s="1194">
        <v>7000</v>
      </c>
      <c r="IG69" s="1194"/>
      <c r="IH69" s="1087">
        <f t="shared" si="65"/>
        <v>7000</v>
      </c>
      <c r="IJ69" s="1079" t="s">
        <v>451</v>
      </c>
      <c r="IK69" s="1088"/>
      <c r="IL69" s="1194"/>
      <c r="IM69" s="1194"/>
      <c r="IN69" s="1194"/>
      <c r="IO69" s="1194">
        <v>7000</v>
      </c>
      <c r="IP69" s="1194"/>
      <c r="IQ69" s="1087">
        <f t="shared" si="80"/>
        <v>7000</v>
      </c>
    </row>
    <row r="70" spans="2:251" ht="18.5" hidden="1" x14ac:dyDescent="0.35">
      <c r="B70" s="1058"/>
      <c r="C70" s="1085"/>
      <c r="D70" s="1060"/>
      <c r="E70" s="1060"/>
      <c r="F70" s="1060"/>
      <c r="G70" s="1060"/>
      <c r="H70" s="1060"/>
      <c r="I70" s="1059"/>
      <c r="K70" s="1058"/>
      <c r="L70" s="1085"/>
      <c r="M70" s="1060"/>
      <c r="N70" s="1060"/>
      <c r="O70" s="1060"/>
      <c r="P70" s="1060"/>
      <c r="Q70" s="1060"/>
      <c r="R70" s="1059"/>
      <c r="T70" s="1058" t="s">
        <v>456</v>
      </c>
      <c r="U70" s="1085"/>
      <c r="V70" s="1060"/>
      <c r="W70" s="1060"/>
      <c r="X70" s="1060"/>
      <c r="Y70" s="1060">
        <f>1500+1900</f>
        <v>3400</v>
      </c>
      <c r="Z70" s="1060"/>
      <c r="AA70" s="1059">
        <f t="shared" si="68"/>
        <v>3400</v>
      </c>
      <c r="AC70" s="1058"/>
      <c r="AD70" s="1085"/>
      <c r="AE70" s="1060"/>
      <c r="AF70" s="1060"/>
      <c r="AG70" s="1060"/>
      <c r="AH70" s="1060"/>
      <c r="AI70" s="1060"/>
      <c r="AJ70" s="1059"/>
      <c r="AL70" s="1067" t="s">
        <v>455</v>
      </c>
      <c r="AM70" s="1085"/>
      <c r="AN70" s="1060"/>
      <c r="AO70" s="1060"/>
      <c r="AP70" s="1060"/>
      <c r="AQ70" s="1060">
        <f>1500+1500</f>
        <v>3000</v>
      </c>
      <c r="AR70" s="1060"/>
      <c r="AS70" s="1059">
        <f t="shared" si="70"/>
        <v>3000</v>
      </c>
      <c r="AU70" s="1067" t="s">
        <v>455</v>
      </c>
      <c r="AV70" s="1085"/>
      <c r="AW70" s="1060"/>
      <c r="AX70" s="1060"/>
      <c r="AY70" s="1060"/>
      <c r="AZ70" s="1060">
        <f>1500+1500</f>
        <v>3000</v>
      </c>
      <c r="BA70" s="1060"/>
      <c r="BB70" s="1059">
        <f t="shared" si="71"/>
        <v>3000</v>
      </c>
      <c r="BD70" s="1067" t="s">
        <v>454</v>
      </c>
      <c r="BE70" s="1086"/>
      <c r="BF70" s="1060"/>
      <c r="BG70" s="1061"/>
      <c r="BH70" s="1060"/>
      <c r="BI70" s="1061">
        <f>2300+1900</f>
        <v>4200</v>
      </c>
      <c r="BJ70" s="1060"/>
      <c r="BK70" s="1059">
        <f t="shared" si="53"/>
        <v>4200</v>
      </c>
      <c r="BL70" s="1067" t="s">
        <v>455</v>
      </c>
      <c r="BM70" s="1085"/>
      <c r="BN70" s="1060"/>
      <c r="BO70" s="1060"/>
      <c r="BP70" s="1060"/>
      <c r="BQ70" s="1060">
        <f>1500+1500</f>
        <v>3000</v>
      </c>
      <c r="BR70" s="1060"/>
      <c r="BS70" s="1059">
        <f t="shared" si="72"/>
        <v>3000</v>
      </c>
      <c r="BU70" s="1067" t="s">
        <v>454</v>
      </c>
      <c r="BV70" s="1085"/>
      <c r="BW70" s="1060"/>
      <c r="BX70" s="1060"/>
      <c r="BY70" s="1060"/>
      <c r="BZ70" s="1060">
        <f>2300+1900</f>
        <v>4200</v>
      </c>
      <c r="CA70" s="1060"/>
      <c r="CB70" s="1059">
        <f t="shared" si="54"/>
        <v>4200</v>
      </c>
      <c r="CD70" s="1067" t="s">
        <v>454</v>
      </c>
      <c r="CE70" s="1085"/>
      <c r="CF70" s="1060"/>
      <c r="CG70" s="1060"/>
      <c r="CH70" s="1060"/>
      <c r="CI70" s="1060">
        <f>2300+1900</f>
        <v>4200</v>
      </c>
      <c r="CJ70" s="1060"/>
      <c r="CK70" s="1059">
        <f t="shared" si="55"/>
        <v>4200</v>
      </c>
      <c r="CM70" s="1081" t="s">
        <v>454</v>
      </c>
      <c r="CN70" s="1088"/>
      <c r="CO70" s="1194"/>
      <c r="CP70" s="1194"/>
      <c r="CQ70" s="1194"/>
      <c r="CR70" s="1194">
        <f>2300+1900</f>
        <v>4200</v>
      </c>
      <c r="CS70" s="1194"/>
      <c r="CT70" s="1087">
        <f t="shared" si="56"/>
        <v>4200</v>
      </c>
      <c r="CV70" s="1080" t="s">
        <v>454</v>
      </c>
      <c r="CW70" s="1088"/>
      <c r="CX70" s="1194"/>
      <c r="CY70" s="1194"/>
      <c r="CZ70" s="1194"/>
      <c r="DA70" s="1194">
        <f>2300+1900</f>
        <v>4200</v>
      </c>
      <c r="DB70" s="1194"/>
      <c r="DC70" s="1087">
        <f t="shared" si="73"/>
        <v>4200</v>
      </c>
      <c r="DE70" s="1079" t="s">
        <v>454</v>
      </c>
      <c r="DF70" s="1088"/>
      <c r="DG70" s="1194"/>
      <c r="DH70" s="1194"/>
      <c r="DI70" s="1194"/>
      <c r="DJ70" s="1194">
        <v>4200</v>
      </c>
      <c r="DK70" s="1194"/>
      <c r="DL70" s="1087">
        <f t="shared" si="74"/>
        <v>4200</v>
      </c>
      <c r="DN70" s="1079" t="s">
        <v>454</v>
      </c>
      <c r="DO70" s="1088"/>
      <c r="DP70" s="1194"/>
      <c r="DQ70" s="1194"/>
      <c r="DR70" s="1194"/>
      <c r="DS70" s="1194">
        <v>4200</v>
      </c>
      <c r="DT70" s="1194"/>
      <c r="DU70" s="1087">
        <f t="shared" si="75"/>
        <v>4200</v>
      </c>
      <c r="DW70" s="1079" t="s">
        <v>453</v>
      </c>
      <c r="DX70" s="1088"/>
      <c r="DY70" s="1194"/>
      <c r="DZ70" s="1194"/>
      <c r="EA70" s="1194"/>
      <c r="EB70" s="1194">
        <f>10351-41</f>
        <v>10310</v>
      </c>
      <c r="EC70" s="1194"/>
      <c r="ED70" s="1087">
        <f t="shared" si="57"/>
        <v>10310</v>
      </c>
      <c r="EF70" s="1079" t="s">
        <v>453</v>
      </c>
      <c r="EG70" s="1088"/>
      <c r="EH70" s="1194"/>
      <c r="EI70" s="1194"/>
      <c r="EJ70" s="1194"/>
      <c r="EK70" s="1194">
        <f>3800+6537-41</f>
        <v>10296</v>
      </c>
      <c r="EL70" s="1194"/>
      <c r="EM70" s="1087">
        <f t="shared" si="76"/>
        <v>10296</v>
      </c>
      <c r="EO70" s="1079" t="s">
        <v>452</v>
      </c>
      <c r="EP70" s="1088"/>
      <c r="EQ70" s="1194"/>
      <c r="ER70" s="1194"/>
      <c r="ES70" s="1194"/>
      <c r="ET70" s="1194">
        <f>4800-50</f>
        <v>4750</v>
      </c>
      <c r="EU70" s="1194"/>
      <c r="EV70" s="1087">
        <f t="shared" si="58"/>
        <v>4750</v>
      </c>
      <c r="EX70" s="1079" t="s">
        <v>452</v>
      </c>
      <c r="EY70" s="1088"/>
      <c r="EZ70" s="1194"/>
      <c r="FA70" s="1194"/>
      <c r="FB70" s="1194"/>
      <c r="FC70" s="1194">
        <f>4800-50</f>
        <v>4750</v>
      </c>
      <c r="FD70" s="1194"/>
      <c r="FE70" s="1087">
        <f t="shared" si="59"/>
        <v>4750</v>
      </c>
      <c r="FG70" s="1079" t="s">
        <v>452</v>
      </c>
      <c r="FH70" s="1088"/>
      <c r="FI70" s="1194"/>
      <c r="FJ70" s="1194"/>
      <c r="FK70" s="1194"/>
      <c r="FL70" s="1194">
        <f>4800-50</f>
        <v>4750</v>
      </c>
      <c r="FM70" s="1194"/>
      <c r="FN70" s="1087">
        <f t="shared" si="60"/>
        <v>4750</v>
      </c>
      <c r="FP70" s="1079" t="s">
        <v>452</v>
      </c>
      <c r="FQ70" s="1088"/>
      <c r="FR70" s="1194"/>
      <c r="FS70" s="1194"/>
      <c r="FT70" s="1194"/>
      <c r="FU70" s="1194">
        <f>4800-80</f>
        <v>4720</v>
      </c>
      <c r="FV70" s="1194"/>
      <c r="FW70" s="1087">
        <f t="shared" si="77"/>
        <v>4720</v>
      </c>
      <c r="FY70" s="1079" t="s">
        <v>451</v>
      </c>
      <c r="FZ70" s="1088"/>
      <c r="GA70" s="1194"/>
      <c r="GB70" s="1194"/>
      <c r="GC70" s="1194"/>
      <c r="GD70" s="1194">
        <v>7000</v>
      </c>
      <c r="GE70" s="1194"/>
      <c r="GF70" s="1087">
        <f t="shared" si="61"/>
        <v>7000</v>
      </c>
      <c r="GH70" s="1079" t="s">
        <v>451</v>
      </c>
      <c r="GI70" s="1088"/>
      <c r="GJ70" s="1194"/>
      <c r="GK70" s="1194"/>
      <c r="GL70" s="1194"/>
      <c r="GM70" s="1194">
        <v>7000</v>
      </c>
      <c r="GN70" s="1194"/>
      <c r="GO70" s="1087">
        <f t="shared" si="62"/>
        <v>7000</v>
      </c>
      <c r="GQ70" s="1079" t="s">
        <v>451</v>
      </c>
      <c r="GR70" s="1088"/>
      <c r="GS70" s="1194"/>
      <c r="GT70" s="1194"/>
      <c r="GU70" s="1194"/>
      <c r="GV70" s="1194">
        <v>7000</v>
      </c>
      <c r="GW70" s="1194"/>
      <c r="GX70" s="1087">
        <f t="shared" si="63"/>
        <v>7000</v>
      </c>
      <c r="GZ70" s="1079" t="s">
        <v>451</v>
      </c>
      <c r="HA70" s="1088"/>
      <c r="HB70" s="1194"/>
      <c r="HC70" s="1194"/>
      <c r="HD70" s="1194"/>
      <c r="HE70" s="1194">
        <v>7000</v>
      </c>
      <c r="HF70" s="1194"/>
      <c r="HG70" s="1087">
        <f t="shared" si="78"/>
        <v>7000</v>
      </c>
      <c r="HI70" s="1079" t="s">
        <v>451</v>
      </c>
      <c r="HJ70" s="1088"/>
      <c r="HK70" s="1194"/>
      <c r="HL70" s="1194"/>
      <c r="HM70" s="1194"/>
      <c r="HN70" s="1194">
        <v>7000</v>
      </c>
      <c r="HO70" s="1194"/>
      <c r="HP70" s="1087">
        <f t="shared" si="79"/>
        <v>7000</v>
      </c>
      <c r="HR70" s="1079" t="s">
        <v>450</v>
      </c>
      <c r="HS70" s="1088"/>
      <c r="HT70" s="1194"/>
      <c r="HU70" s="1194"/>
      <c r="HV70" s="1194"/>
      <c r="HW70" s="1194">
        <f>8700</f>
        <v>8700</v>
      </c>
      <c r="HX70" s="1194"/>
      <c r="HY70" s="1087">
        <f t="shared" si="64"/>
        <v>8700</v>
      </c>
      <c r="IA70" s="1079" t="s">
        <v>450</v>
      </c>
      <c r="IB70" s="1088"/>
      <c r="IC70" s="1194"/>
      <c r="ID70" s="1194"/>
      <c r="IE70" s="1194"/>
      <c r="IF70" s="1194">
        <f>8700</f>
        <v>8700</v>
      </c>
      <c r="IG70" s="1194"/>
      <c r="IH70" s="1087">
        <f t="shared" si="65"/>
        <v>8700</v>
      </c>
      <c r="IJ70" s="1079" t="s">
        <v>450</v>
      </c>
      <c r="IK70" s="1088"/>
      <c r="IL70" s="1194"/>
      <c r="IM70" s="1194"/>
      <c r="IN70" s="1194"/>
      <c r="IO70" s="1194">
        <f>8700</f>
        <v>8700</v>
      </c>
      <c r="IP70" s="1194"/>
      <c r="IQ70" s="1087">
        <f t="shared" si="80"/>
        <v>8700</v>
      </c>
    </row>
    <row r="71" spans="2:251" ht="18.5" hidden="1" x14ac:dyDescent="0.35">
      <c r="B71" s="1084"/>
      <c r="C71" s="1083"/>
      <c r="D71" s="1056"/>
      <c r="E71" s="1056"/>
      <c r="F71" s="1055"/>
      <c r="G71" s="1055"/>
      <c r="H71" s="1056"/>
      <c r="I71" s="1054"/>
      <c r="K71" s="1058"/>
      <c r="L71" s="1083"/>
      <c r="M71" s="1056"/>
      <c r="N71" s="1056"/>
      <c r="O71" s="1055"/>
      <c r="P71" s="1056"/>
      <c r="Q71" s="1055"/>
      <c r="R71" s="1054"/>
      <c r="T71" s="1058" t="s">
        <v>455</v>
      </c>
      <c r="U71" s="1082"/>
      <c r="V71" s="1055"/>
      <c r="W71" s="1055"/>
      <c r="X71" s="1055"/>
      <c r="Y71" s="1055">
        <v>1500</v>
      </c>
      <c r="Z71" s="1055"/>
      <c r="AA71" s="1054">
        <f t="shared" si="68"/>
        <v>1500</v>
      </c>
      <c r="AC71" s="1058"/>
      <c r="AD71" s="1082"/>
      <c r="AE71" s="1056"/>
      <c r="AF71" s="1055"/>
      <c r="AG71" s="1055"/>
      <c r="AH71" s="1055"/>
      <c r="AI71" s="1056"/>
      <c r="AJ71" s="1054"/>
      <c r="AL71" s="1067" t="s">
        <v>454</v>
      </c>
      <c r="AM71" s="1082"/>
      <c r="AN71" s="1055"/>
      <c r="AO71" s="1055"/>
      <c r="AP71" s="1055"/>
      <c r="AQ71" s="1055">
        <v>2300</v>
      </c>
      <c r="AR71" s="1055"/>
      <c r="AS71" s="1054">
        <f t="shared" si="70"/>
        <v>2300</v>
      </c>
      <c r="AU71" s="1067" t="s">
        <v>454</v>
      </c>
      <c r="AV71" s="1082"/>
      <c r="AW71" s="1055"/>
      <c r="AX71" s="1055"/>
      <c r="AY71" s="1055"/>
      <c r="AZ71" s="1055">
        <v>2300</v>
      </c>
      <c r="BA71" s="1055"/>
      <c r="BB71" s="1054">
        <f t="shared" si="71"/>
        <v>2300</v>
      </c>
      <c r="BD71" s="1067"/>
      <c r="BE71" s="1082"/>
      <c r="BF71" s="1056"/>
      <c r="BG71" s="1055"/>
      <c r="BH71" s="1056"/>
      <c r="BI71" s="1055"/>
      <c r="BJ71" s="1056"/>
      <c r="BK71" s="1054"/>
      <c r="BL71" s="1067" t="s">
        <v>454</v>
      </c>
      <c r="BM71" s="1082"/>
      <c r="BN71" s="1055"/>
      <c r="BO71" s="1055"/>
      <c r="BP71" s="1055"/>
      <c r="BQ71" s="1055">
        <f>2300+1900</f>
        <v>4200</v>
      </c>
      <c r="BR71" s="1055"/>
      <c r="BS71" s="1054">
        <f t="shared" si="72"/>
        <v>4200</v>
      </c>
      <c r="BU71" s="1067" t="s">
        <v>930</v>
      </c>
      <c r="BV71" s="1085"/>
      <c r="BW71" s="1060"/>
      <c r="BX71" s="1060"/>
      <c r="BY71" s="1060"/>
      <c r="BZ71" s="1060">
        <v>4477</v>
      </c>
      <c r="CA71" s="1060"/>
      <c r="CB71" s="1059">
        <f t="shared" si="54"/>
        <v>4477</v>
      </c>
      <c r="CD71" s="1067" t="s">
        <v>930</v>
      </c>
      <c r="CE71" s="1085"/>
      <c r="CF71" s="1060"/>
      <c r="CG71" s="1060"/>
      <c r="CH71" s="1060"/>
      <c r="CI71" s="1060">
        <f>1800+6384</f>
        <v>8184</v>
      </c>
      <c r="CJ71" s="1060"/>
      <c r="CK71" s="1059">
        <f t="shared" si="55"/>
        <v>8184</v>
      </c>
      <c r="CM71" s="1081" t="s">
        <v>453</v>
      </c>
      <c r="CN71" s="1088"/>
      <c r="CO71" s="1194"/>
      <c r="CP71" s="1194"/>
      <c r="CQ71" s="1194"/>
      <c r="CR71" s="1194">
        <f>1800+6624</f>
        <v>8424</v>
      </c>
      <c r="CS71" s="1194"/>
      <c r="CT71" s="1087">
        <f t="shared" si="56"/>
        <v>8424</v>
      </c>
      <c r="CV71" s="1080" t="s">
        <v>453</v>
      </c>
      <c r="CW71" s="1088"/>
      <c r="CX71" s="1194"/>
      <c r="CY71" s="1194"/>
      <c r="CZ71" s="1194"/>
      <c r="DA71" s="1194">
        <f>10415-58</f>
        <v>10357</v>
      </c>
      <c r="DB71" s="1194"/>
      <c r="DC71" s="1198">
        <f t="shared" si="73"/>
        <v>10357</v>
      </c>
      <c r="DE71" s="1079" t="s">
        <v>453</v>
      </c>
      <c r="DF71" s="1088"/>
      <c r="DG71" s="1194"/>
      <c r="DH71" s="1194"/>
      <c r="DI71" s="1194"/>
      <c r="DJ71" s="1194">
        <f>10388-41</f>
        <v>10347</v>
      </c>
      <c r="DK71" s="1194"/>
      <c r="DL71" s="1087">
        <f t="shared" si="74"/>
        <v>10347</v>
      </c>
      <c r="DN71" s="1079" t="s">
        <v>453</v>
      </c>
      <c r="DO71" s="1088"/>
      <c r="DP71" s="1194"/>
      <c r="DQ71" s="1194"/>
      <c r="DR71" s="1194"/>
      <c r="DS71" s="1194">
        <f>10364-41</f>
        <v>10323</v>
      </c>
      <c r="DT71" s="1194"/>
      <c r="DU71" s="1087">
        <f t="shared" si="75"/>
        <v>10323</v>
      </c>
      <c r="DW71" s="1079" t="s">
        <v>452</v>
      </c>
      <c r="DX71" s="1088"/>
      <c r="DY71" s="1194"/>
      <c r="DZ71" s="1194"/>
      <c r="EA71" s="1194"/>
      <c r="EB71" s="1194">
        <f>2000-40</f>
        <v>1960</v>
      </c>
      <c r="EC71" s="1194"/>
      <c r="ED71" s="1087">
        <f t="shared" si="57"/>
        <v>1960</v>
      </c>
      <c r="EF71" s="1079" t="s">
        <v>452</v>
      </c>
      <c r="EG71" s="1088"/>
      <c r="EH71" s="1194"/>
      <c r="EI71" s="1194"/>
      <c r="EJ71" s="1194"/>
      <c r="EK71" s="1194">
        <f>4800-50</f>
        <v>4750</v>
      </c>
      <c r="EL71" s="1194"/>
      <c r="EM71" s="1087">
        <f t="shared" si="76"/>
        <v>4750</v>
      </c>
      <c r="EO71" s="1079" t="s">
        <v>451</v>
      </c>
      <c r="EP71" s="1088"/>
      <c r="EQ71" s="1194"/>
      <c r="ER71" s="1194"/>
      <c r="ES71" s="1194"/>
      <c r="ET71" s="1194">
        <v>2500</v>
      </c>
      <c r="EU71" s="1194"/>
      <c r="EV71" s="1087">
        <f t="shared" si="58"/>
        <v>2500</v>
      </c>
      <c r="EX71" s="1079" t="s">
        <v>451</v>
      </c>
      <c r="EY71" s="1088"/>
      <c r="EZ71" s="1194"/>
      <c r="FA71" s="1194"/>
      <c r="FB71" s="1194"/>
      <c r="FC71" s="1194">
        <v>2500</v>
      </c>
      <c r="FD71" s="1194"/>
      <c r="FE71" s="1087">
        <f t="shared" si="59"/>
        <v>2500</v>
      </c>
      <c r="FG71" s="1079" t="s">
        <v>451</v>
      </c>
      <c r="FH71" s="1088"/>
      <c r="FI71" s="1194"/>
      <c r="FJ71" s="1194"/>
      <c r="FK71" s="1194"/>
      <c r="FL71" s="1194">
        <v>4500</v>
      </c>
      <c r="FM71" s="1194"/>
      <c r="FN71" s="1087">
        <f t="shared" si="60"/>
        <v>4500</v>
      </c>
      <c r="FP71" s="1079" t="s">
        <v>451</v>
      </c>
      <c r="FQ71" s="1088"/>
      <c r="FR71" s="1194"/>
      <c r="FS71" s="1194"/>
      <c r="FT71" s="1194"/>
      <c r="FU71" s="1194">
        <v>7000</v>
      </c>
      <c r="FV71" s="1194"/>
      <c r="FW71" s="1087">
        <f t="shared" si="77"/>
        <v>7000</v>
      </c>
      <c r="FY71" s="1079" t="s">
        <v>450</v>
      </c>
      <c r="FZ71" s="1088"/>
      <c r="GA71" s="1194"/>
      <c r="GB71" s="1194"/>
      <c r="GC71" s="1194"/>
      <c r="GD71" s="1194">
        <v>2500</v>
      </c>
      <c r="GE71" s="1194"/>
      <c r="GF71" s="1087">
        <f t="shared" si="61"/>
        <v>2500</v>
      </c>
      <c r="GH71" s="1079" t="s">
        <v>450</v>
      </c>
      <c r="GI71" s="1088"/>
      <c r="GJ71" s="1194"/>
      <c r="GK71" s="1194"/>
      <c r="GL71" s="1194"/>
      <c r="GM71" s="1194">
        <v>2500</v>
      </c>
      <c r="GN71" s="1194"/>
      <c r="GO71" s="1087">
        <f t="shared" si="62"/>
        <v>2500</v>
      </c>
      <c r="GQ71" s="1079" t="s">
        <v>450</v>
      </c>
      <c r="GR71" s="1088"/>
      <c r="GS71" s="1194"/>
      <c r="GT71" s="1194"/>
      <c r="GU71" s="1194"/>
      <c r="GV71" s="1194">
        <f>2500+3100</f>
        <v>5600</v>
      </c>
      <c r="GW71" s="1194"/>
      <c r="GX71" s="1087">
        <f t="shared" si="63"/>
        <v>5600</v>
      </c>
      <c r="GZ71" s="1079" t="s">
        <v>450</v>
      </c>
      <c r="HA71" s="1088"/>
      <c r="HB71" s="1194"/>
      <c r="HC71" s="1194"/>
      <c r="HD71" s="1194"/>
      <c r="HE71" s="1194">
        <f>8700-10</f>
        <v>8690</v>
      </c>
      <c r="HF71" s="1194"/>
      <c r="HG71" s="1087">
        <f t="shared" si="78"/>
        <v>8690</v>
      </c>
      <c r="HI71" s="1079" t="s">
        <v>450</v>
      </c>
      <c r="HJ71" s="1088"/>
      <c r="HK71" s="1194"/>
      <c r="HL71" s="1194"/>
      <c r="HM71" s="1194"/>
      <c r="HN71" s="1194">
        <f>8700</f>
        <v>8700</v>
      </c>
      <c r="HO71" s="1194"/>
      <c r="HP71" s="1087">
        <f t="shared" si="79"/>
        <v>8700</v>
      </c>
      <c r="HR71" s="1079" t="s">
        <v>449</v>
      </c>
      <c r="HS71" s="1088"/>
      <c r="HT71" s="1194"/>
      <c r="HU71" s="1194"/>
      <c r="HV71" s="1194"/>
      <c r="HW71" s="1194">
        <f>2300</f>
        <v>2300</v>
      </c>
      <c r="HX71" s="1194"/>
      <c r="HY71" s="1087">
        <f t="shared" si="64"/>
        <v>2300</v>
      </c>
      <c r="IA71" s="1079" t="s">
        <v>449</v>
      </c>
      <c r="IB71" s="1088"/>
      <c r="IC71" s="1194"/>
      <c r="ID71" s="1194"/>
      <c r="IE71" s="1194"/>
      <c r="IF71" s="1194">
        <f>2300-5</f>
        <v>2295</v>
      </c>
      <c r="IG71" s="1194"/>
      <c r="IH71" s="1087">
        <f t="shared" si="65"/>
        <v>2295</v>
      </c>
      <c r="IJ71" s="1079" t="s">
        <v>449</v>
      </c>
      <c r="IK71" s="1088"/>
      <c r="IL71" s="1194"/>
      <c r="IM71" s="1194"/>
      <c r="IN71" s="1194"/>
      <c r="IO71" s="1194">
        <f>5300-5</f>
        <v>5295</v>
      </c>
      <c r="IP71" s="1194"/>
      <c r="IQ71" s="1087">
        <f t="shared" si="80"/>
        <v>5295</v>
      </c>
    </row>
    <row r="72" spans="2:251" ht="15" hidden="1" x14ac:dyDescent="0.3">
      <c r="B72" s="1077" t="s">
        <v>447</v>
      </c>
      <c r="C72" s="1078">
        <f t="shared" ref="C72:I72" si="81">SUM(C52:C69)</f>
        <v>0</v>
      </c>
      <c r="D72" s="1078">
        <f t="shared" si="81"/>
        <v>25829</v>
      </c>
      <c r="E72" s="1078">
        <f t="shared" si="81"/>
        <v>50831</v>
      </c>
      <c r="F72" s="1078">
        <f t="shared" si="81"/>
        <v>52564</v>
      </c>
      <c r="G72" s="1078">
        <f t="shared" si="81"/>
        <v>74151</v>
      </c>
      <c r="H72" s="1078">
        <f t="shared" si="81"/>
        <v>7717</v>
      </c>
      <c r="I72" s="1078">
        <f t="shared" si="81"/>
        <v>211092</v>
      </c>
      <c r="K72" s="1077" t="s">
        <v>447</v>
      </c>
      <c r="L72" s="1078">
        <f t="shared" ref="L72:R72" si="82">SUM(L52:L69)</f>
        <v>0</v>
      </c>
      <c r="M72" s="1078">
        <f t="shared" si="82"/>
        <v>25301</v>
      </c>
      <c r="N72" s="1078">
        <f t="shared" si="82"/>
        <v>50031</v>
      </c>
      <c r="O72" s="1078">
        <f t="shared" si="82"/>
        <v>54199</v>
      </c>
      <c r="P72" s="1078">
        <f t="shared" si="82"/>
        <v>75951</v>
      </c>
      <c r="Q72" s="1078">
        <f t="shared" si="82"/>
        <v>7717</v>
      </c>
      <c r="R72" s="1078">
        <f t="shared" si="82"/>
        <v>213199</v>
      </c>
      <c r="T72" s="1077" t="s">
        <v>447</v>
      </c>
      <c r="U72" s="1078">
        <f t="shared" ref="U72:AA72" si="83">SUM(U52:U71)</f>
        <v>0</v>
      </c>
      <c r="V72" s="1078">
        <f t="shared" si="83"/>
        <v>25089</v>
      </c>
      <c r="W72" s="1078">
        <f t="shared" si="83"/>
        <v>55031</v>
      </c>
      <c r="X72" s="1078">
        <f t="shared" si="83"/>
        <v>51374</v>
      </c>
      <c r="Y72" s="1078">
        <f t="shared" si="83"/>
        <v>79351</v>
      </c>
      <c r="Z72" s="1078">
        <f t="shared" si="83"/>
        <v>7717</v>
      </c>
      <c r="AA72" s="1078">
        <f t="shared" si="83"/>
        <v>218562</v>
      </c>
      <c r="AC72" s="1077" t="s">
        <v>447</v>
      </c>
      <c r="AD72" s="1078">
        <f t="shared" ref="AD72:AJ72" si="84">SUM(AD52:AD69)</f>
        <v>0</v>
      </c>
      <c r="AE72" s="1078">
        <f t="shared" si="84"/>
        <v>25870</v>
      </c>
      <c r="AF72" s="1078">
        <f t="shared" si="84"/>
        <v>54531</v>
      </c>
      <c r="AG72" s="1078">
        <f t="shared" si="84"/>
        <v>55374</v>
      </c>
      <c r="AH72" s="1078">
        <f t="shared" si="84"/>
        <v>80483</v>
      </c>
      <c r="AI72" s="1078">
        <f t="shared" si="84"/>
        <v>8917</v>
      </c>
      <c r="AJ72" s="1078">
        <f t="shared" si="84"/>
        <v>225175</v>
      </c>
      <c r="AL72" s="1077" t="s">
        <v>447</v>
      </c>
      <c r="AM72" s="1199">
        <f t="shared" ref="AM72:AS72" si="85">SUM(AM52:AM71)</f>
        <v>0</v>
      </c>
      <c r="AN72" s="1078">
        <f t="shared" si="85"/>
        <v>27950</v>
      </c>
      <c r="AO72" s="1078">
        <f t="shared" si="85"/>
        <v>55371</v>
      </c>
      <c r="AP72" s="1078">
        <f t="shared" si="85"/>
        <v>57274</v>
      </c>
      <c r="AQ72" s="1078">
        <f t="shared" si="85"/>
        <v>84483</v>
      </c>
      <c r="AR72" s="1078">
        <f t="shared" si="85"/>
        <v>8917</v>
      </c>
      <c r="AS72" s="1078">
        <f t="shared" si="85"/>
        <v>233995</v>
      </c>
      <c r="AU72" s="1077" t="s">
        <v>447</v>
      </c>
      <c r="AV72" s="1078">
        <f t="shared" ref="AV72:BB72" si="86">SUM(AV52:AV71)</f>
        <v>0</v>
      </c>
      <c r="AW72" s="1078">
        <f t="shared" si="86"/>
        <v>26300</v>
      </c>
      <c r="AX72" s="1078">
        <f t="shared" si="86"/>
        <v>56800</v>
      </c>
      <c r="AY72" s="1078">
        <f t="shared" si="86"/>
        <v>57054</v>
      </c>
      <c r="AZ72" s="1078">
        <f t="shared" si="86"/>
        <v>87377</v>
      </c>
      <c r="BA72" s="1078">
        <f t="shared" si="86"/>
        <v>8917</v>
      </c>
      <c r="BB72" s="1078">
        <f t="shared" si="86"/>
        <v>236448</v>
      </c>
      <c r="BD72" s="1077" t="s">
        <v>447</v>
      </c>
      <c r="BE72" s="1199">
        <f t="shared" ref="BE72:BK72" si="87">SUM(BE51:BE70)</f>
        <v>0</v>
      </c>
      <c r="BF72" s="1078">
        <f t="shared" si="87"/>
        <v>29100</v>
      </c>
      <c r="BG72" s="1078">
        <f t="shared" si="87"/>
        <v>57700</v>
      </c>
      <c r="BH72" s="1078">
        <f t="shared" si="87"/>
        <v>61054</v>
      </c>
      <c r="BI72" s="1078">
        <f t="shared" si="87"/>
        <v>88872</v>
      </c>
      <c r="BJ72" s="1078">
        <f t="shared" si="87"/>
        <v>8917</v>
      </c>
      <c r="BK72" s="1078">
        <f t="shared" si="87"/>
        <v>245643</v>
      </c>
      <c r="BL72" s="1077" t="s">
        <v>447</v>
      </c>
      <c r="BM72" s="1199">
        <f t="shared" ref="BM72:BS72" si="88">SUM(BM52:BM71)</f>
        <v>0</v>
      </c>
      <c r="BN72" s="1078">
        <f t="shared" si="88"/>
        <v>31600</v>
      </c>
      <c r="BO72" s="1078">
        <f t="shared" si="88"/>
        <v>56115</v>
      </c>
      <c r="BP72" s="1078">
        <f t="shared" si="88"/>
        <v>60954</v>
      </c>
      <c r="BQ72" s="1078">
        <f t="shared" si="88"/>
        <v>90372</v>
      </c>
      <c r="BR72" s="1078">
        <f t="shared" si="88"/>
        <v>9517</v>
      </c>
      <c r="BS72" s="1078">
        <f t="shared" si="88"/>
        <v>248558</v>
      </c>
      <c r="BU72" s="1077" t="s">
        <v>447</v>
      </c>
      <c r="BV72" s="1199">
        <f t="shared" ref="BV72:CB72" si="89">SUM(BV51:BV71)</f>
        <v>0</v>
      </c>
      <c r="BW72" s="1078">
        <f t="shared" si="89"/>
        <v>28174</v>
      </c>
      <c r="BX72" s="1078">
        <f t="shared" si="89"/>
        <v>59115</v>
      </c>
      <c r="BY72" s="1078">
        <f t="shared" si="89"/>
        <v>62120</v>
      </c>
      <c r="BZ72" s="1078">
        <f t="shared" si="89"/>
        <v>97665</v>
      </c>
      <c r="CA72" s="1078">
        <f t="shared" si="89"/>
        <v>9517</v>
      </c>
      <c r="CB72" s="1078">
        <f t="shared" si="89"/>
        <v>256591</v>
      </c>
      <c r="CD72" s="1077" t="s">
        <v>447</v>
      </c>
      <c r="CE72" s="1199">
        <f t="shared" ref="CE72:CK72" si="90">SUM(CE51:CE71)</f>
        <v>0</v>
      </c>
      <c r="CF72" s="1078">
        <f t="shared" si="90"/>
        <v>27307</v>
      </c>
      <c r="CG72" s="1078">
        <f t="shared" si="90"/>
        <v>59825</v>
      </c>
      <c r="CH72" s="1078">
        <f t="shared" si="90"/>
        <v>61254</v>
      </c>
      <c r="CI72" s="1078">
        <f t="shared" si="90"/>
        <v>100528</v>
      </c>
      <c r="CJ72" s="1078">
        <f t="shared" si="90"/>
        <v>9517</v>
      </c>
      <c r="CK72" s="1078">
        <f t="shared" si="90"/>
        <v>258431</v>
      </c>
      <c r="CM72" s="1076" t="s">
        <v>447</v>
      </c>
      <c r="CN72" s="1200">
        <f>SUM(CN51:CN70)</f>
        <v>0</v>
      </c>
      <c r="CO72" s="1201">
        <f t="shared" ref="CO72:CT72" si="91">SUM(CO51:CO71)</f>
        <v>30189</v>
      </c>
      <c r="CP72" s="1201">
        <f t="shared" si="91"/>
        <v>56025</v>
      </c>
      <c r="CQ72" s="1201">
        <f t="shared" si="91"/>
        <v>64354</v>
      </c>
      <c r="CR72" s="1201">
        <f t="shared" si="91"/>
        <v>103751</v>
      </c>
      <c r="CS72" s="1201">
        <f t="shared" si="91"/>
        <v>9517</v>
      </c>
      <c r="CT72" s="1201">
        <f t="shared" si="91"/>
        <v>263836</v>
      </c>
      <c r="CV72" s="1014" t="s">
        <v>447</v>
      </c>
      <c r="CW72" s="1200">
        <f>SUM(CW52:CW70)</f>
        <v>0</v>
      </c>
      <c r="CX72" s="1201">
        <f t="shared" ref="CX72:DC72" si="92">SUM(CX52:CX71)</f>
        <v>46363</v>
      </c>
      <c r="CY72" s="1201">
        <f t="shared" si="92"/>
        <v>63178</v>
      </c>
      <c r="CZ72" s="1201">
        <f t="shared" si="92"/>
        <v>80422</v>
      </c>
      <c r="DA72" s="1201">
        <f t="shared" si="92"/>
        <v>105259</v>
      </c>
      <c r="DB72" s="1201">
        <f t="shared" si="92"/>
        <v>9515</v>
      </c>
      <c r="DC72" s="1201">
        <f t="shared" si="92"/>
        <v>304737</v>
      </c>
      <c r="DE72" s="1013" t="s">
        <v>447</v>
      </c>
      <c r="DF72" s="1200">
        <f>SUM(DF52:DF70)</f>
        <v>0</v>
      </c>
      <c r="DG72" s="1201">
        <f t="shared" ref="DG72:DL72" si="93">SUM(DG52:DG71)</f>
        <v>34145</v>
      </c>
      <c r="DH72" s="1201">
        <f t="shared" si="93"/>
        <v>58178</v>
      </c>
      <c r="DI72" s="1201">
        <f t="shared" si="93"/>
        <v>80422</v>
      </c>
      <c r="DJ72" s="1201">
        <f t="shared" si="93"/>
        <v>101354</v>
      </c>
      <c r="DK72" s="1201">
        <f t="shared" si="93"/>
        <v>9515</v>
      </c>
      <c r="DL72" s="1201">
        <f t="shared" si="93"/>
        <v>283614</v>
      </c>
      <c r="DN72" s="1013" t="s">
        <v>447</v>
      </c>
      <c r="DO72" s="1200">
        <f>SUM(DO52:DO70)</f>
        <v>0</v>
      </c>
      <c r="DP72" s="1201">
        <f t="shared" ref="DP72:DU72" si="94">SUM(DP52:DP71)</f>
        <v>24792</v>
      </c>
      <c r="DQ72" s="1201">
        <f t="shared" si="94"/>
        <v>56973</v>
      </c>
      <c r="DR72" s="1201">
        <f t="shared" si="94"/>
        <v>80123</v>
      </c>
      <c r="DS72" s="1201">
        <f t="shared" si="94"/>
        <v>103331</v>
      </c>
      <c r="DT72" s="1201">
        <f t="shared" si="94"/>
        <v>9515</v>
      </c>
      <c r="DU72" s="1201">
        <f t="shared" si="94"/>
        <v>274734</v>
      </c>
      <c r="DW72" s="1013" t="s">
        <v>447</v>
      </c>
      <c r="DX72" s="1012">
        <f t="shared" ref="DX72:ED72" si="95">SUM(DX51:DX71)</f>
        <v>0</v>
      </c>
      <c r="DY72" s="1012">
        <f t="shared" si="95"/>
        <v>28932</v>
      </c>
      <c r="DZ72" s="1012">
        <f t="shared" si="95"/>
        <v>56270</v>
      </c>
      <c r="EA72" s="1012">
        <f t="shared" si="95"/>
        <v>85745</v>
      </c>
      <c r="EB72" s="1012">
        <f t="shared" si="95"/>
        <v>108836</v>
      </c>
      <c r="EC72" s="1012">
        <f t="shared" si="95"/>
        <v>9515</v>
      </c>
      <c r="ED72" s="1012">
        <f t="shared" si="95"/>
        <v>289298</v>
      </c>
      <c r="EF72" s="1013" t="s">
        <v>447</v>
      </c>
      <c r="EG72" s="1012">
        <f t="shared" ref="EG72:EM72" si="96">SUM(EG52:EG71)</f>
        <v>0</v>
      </c>
      <c r="EH72" s="1012">
        <f t="shared" si="96"/>
        <v>38163</v>
      </c>
      <c r="EI72" s="1012">
        <f t="shared" si="96"/>
        <v>62777</v>
      </c>
      <c r="EJ72" s="1012">
        <f t="shared" si="96"/>
        <v>91876</v>
      </c>
      <c r="EK72" s="1012">
        <f t="shared" si="96"/>
        <v>118262</v>
      </c>
      <c r="EL72" s="1012">
        <f t="shared" si="96"/>
        <v>9515</v>
      </c>
      <c r="EM72" s="1012">
        <f t="shared" si="96"/>
        <v>320593</v>
      </c>
      <c r="EO72" s="1013" t="s">
        <v>447</v>
      </c>
      <c r="EP72" s="1012">
        <f t="shared" ref="EP72:EV72" si="97">SUM(EP51:EP71)</f>
        <v>0</v>
      </c>
      <c r="EQ72" s="1012">
        <f t="shared" si="97"/>
        <v>37925</v>
      </c>
      <c r="ER72" s="1012">
        <f t="shared" si="97"/>
        <v>63785</v>
      </c>
      <c r="ES72" s="1012">
        <f t="shared" si="97"/>
        <v>95627</v>
      </c>
      <c r="ET72" s="1012">
        <f t="shared" si="97"/>
        <v>119808</v>
      </c>
      <c r="EU72" s="1012">
        <f t="shared" si="97"/>
        <v>9515</v>
      </c>
      <c r="EV72" s="1012">
        <f t="shared" si="97"/>
        <v>326660</v>
      </c>
      <c r="EX72" s="1013" t="s">
        <v>447</v>
      </c>
      <c r="EY72" s="1012">
        <f t="shared" ref="EY72:FE72" si="98">SUM(EY51:EY71)</f>
        <v>0</v>
      </c>
      <c r="EZ72" s="1012">
        <f t="shared" si="98"/>
        <v>32400</v>
      </c>
      <c r="FA72" s="1012">
        <f t="shared" si="98"/>
        <v>56889</v>
      </c>
      <c r="FB72" s="1012">
        <f t="shared" si="98"/>
        <v>95638</v>
      </c>
      <c r="FC72" s="1012">
        <f t="shared" si="98"/>
        <v>121404</v>
      </c>
      <c r="FD72" s="1012">
        <f t="shared" si="98"/>
        <v>9515</v>
      </c>
      <c r="FE72" s="1012">
        <f t="shared" si="98"/>
        <v>315846</v>
      </c>
      <c r="FG72" s="1013" t="s">
        <v>447</v>
      </c>
      <c r="FH72" s="1012">
        <f t="shared" ref="FH72:FN72" si="99">SUM(FH51:FH71)</f>
        <v>0</v>
      </c>
      <c r="FI72" s="1012">
        <f t="shared" si="99"/>
        <v>34248</v>
      </c>
      <c r="FJ72" s="1012">
        <f t="shared" si="99"/>
        <v>59877</v>
      </c>
      <c r="FK72" s="1012">
        <f t="shared" si="99"/>
        <v>94048</v>
      </c>
      <c r="FL72" s="1012">
        <f t="shared" si="99"/>
        <v>125870</v>
      </c>
      <c r="FM72" s="1012">
        <f t="shared" si="99"/>
        <v>9515</v>
      </c>
      <c r="FN72" s="1012">
        <f t="shared" si="99"/>
        <v>323558</v>
      </c>
      <c r="FP72" s="1013" t="s">
        <v>447</v>
      </c>
      <c r="FQ72" s="1012">
        <f t="shared" ref="FQ72:FW72" si="100">SUM(FQ52:FQ71)</f>
        <v>0</v>
      </c>
      <c r="FR72" s="1012">
        <f t="shared" si="100"/>
        <v>38787</v>
      </c>
      <c r="FS72" s="1012">
        <f t="shared" si="100"/>
        <v>57699</v>
      </c>
      <c r="FT72" s="1012">
        <f t="shared" si="100"/>
        <v>100682</v>
      </c>
      <c r="FU72" s="1012">
        <f t="shared" si="100"/>
        <v>131224</v>
      </c>
      <c r="FV72" s="1012">
        <f t="shared" si="100"/>
        <v>9515</v>
      </c>
      <c r="FW72" s="1012">
        <f t="shared" si="100"/>
        <v>337907</v>
      </c>
      <c r="FY72" s="1013" t="s">
        <v>447</v>
      </c>
      <c r="FZ72" s="1012">
        <f t="shared" ref="FZ72:GF72" si="101">SUM(FZ51:FZ71)</f>
        <v>0</v>
      </c>
      <c r="GA72" s="1012">
        <f t="shared" si="101"/>
        <v>43145</v>
      </c>
      <c r="GB72" s="1012">
        <f t="shared" si="101"/>
        <v>60492</v>
      </c>
      <c r="GC72" s="1012">
        <f t="shared" si="101"/>
        <v>101236</v>
      </c>
      <c r="GD72" s="1012">
        <f t="shared" si="101"/>
        <v>134652</v>
      </c>
      <c r="GE72" s="1012">
        <f t="shared" si="101"/>
        <v>9515</v>
      </c>
      <c r="GF72" s="1012">
        <f t="shared" si="101"/>
        <v>349040</v>
      </c>
      <c r="GH72" s="1013" t="s">
        <v>447</v>
      </c>
      <c r="GI72" s="1012">
        <f t="shared" ref="GI72:GO72" si="102">SUM(GI51:GI71)</f>
        <v>0</v>
      </c>
      <c r="GJ72" s="1012">
        <f t="shared" si="102"/>
        <v>40521</v>
      </c>
      <c r="GK72" s="1012">
        <f t="shared" si="102"/>
        <v>57860</v>
      </c>
      <c r="GL72" s="1012">
        <f t="shared" si="102"/>
        <v>100291</v>
      </c>
      <c r="GM72" s="1012">
        <f t="shared" si="102"/>
        <v>137920</v>
      </c>
      <c r="GN72" s="1012">
        <f t="shared" si="102"/>
        <v>9515</v>
      </c>
      <c r="GO72" s="1012">
        <f t="shared" si="102"/>
        <v>346107</v>
      </c>
      <c r="GQ72" s="1013" t="s">
        <v>447</v>
      </c>
      <c r="GR72" s="1012">
        <f t="shared" ref="GR72:GX72" si="103">SUM(GR51:GR71)</f>
        <v>0</v>
      </c>
      <c r="GS72" s="1012">
        <f t="shared" si="103"/>
        <v>38561</v>
      </c>
      <c r="GT72" s="1012">
        <f t="shared" si="103"/>
        <v>55660</v>
      </c>
      <c r="GU72" s="1012">
        <f t="shared" si="103"/>
        <v>105286</v>
      </c>
      <c r="GV72" s="1012">
        <f t="shared" si="103"/>
        <v>143489</v>
      </c>
      <c r="GW72" s="1012">
        <f t="shared" si="103"/>
        <v>9515</v>
      </c>
      <c r="GX72" s="1012">
        <f t="shared" si="103"/>
        <v>352511</v>
      </c>
      <c r="GZ72" s="1013" t="s">
        <v>447</v>
      </c>
      <c r="HA72" s="1012">
        <f t="shared" ref="HA72:HG72" si="104">SUM(HA52:HA71)</f>
        <v>0</v>
      </c>
      <c r="HB72" s="1012">
        <f t="shared" si="104"/>
        <v>39611</v>
      </c>
      <c r="HC72" s="1012">
        <f t="shared" si="104"/>
        <v>62546</v>
      </c>
      <c r="HD72" s="1012">
        <f t="shared" si="104"/>
        <v>104292</v>
      </c>
      <c r="HE72" s="1012">
        <f t="shared" si="104"/>
        <v>148809</v>
      </c>
      <c r="HF72" s="1012">
        <f t="shared" si="104"/>
        <v>9515</v>
      </c>
      <c r="HG72" s="1012">
        <f t="shared" si="104"/>
        <v>364773</v>
      </c>
      <c r="HI72" s="1013" t="s">
        <v>447</v>
      </c>
      <c r="HJ72" s="1012">
        <f t="shared" ref="HJ72:HP72" si="105">SUM(HJ52:HJ71)</f>
        <v>0</v>
      </c>
      <c r="HK72" s="1012">
        <f t="shared" si="105"/>
        <v>37615</v>
      </c>
      <c r="HL72" s="1012">
        <f t="shared" si="105"/>
        <v>68140</v>
      </c>
      <c r="HM72" s="1012">
        <f t="shared" si="105"/>
        <v>105992</v>
      </c>
      <c r="HN72" s="1012">
        <f t="shared" si="105"/>
        <v>150980</v>
      </c>
      <c r="HO72" s="1012">
        <f t="shared" si="105"/>
        <v>9515</v>
      </c>
      <c r="HP72" s="1012">
        <f t="shared" si="105"/>
        <v>372242</v>
      </c>
      <c r="HR72" s="1013" t="s">
        <v>447</v>
      </c>
      <c r="HS72" s="1012">
        <f t="shared" ref="HS72:HY72" si="106">SUM(HS51:HS71)</f>
        <v>0</v>
      </c>
      <c r="HT72" s="1012">
        <f t="shared" si="106"/>
        <v>41861</v>
      </c>
      <c r="HU72" s="1012">
        <f t="shared" si="106"/>
        <v>68942</v>
      </c>
      <c r="HV72" s="1012">
        <f t="shared" si="106"/>
        <v>109398</v>
      </c>
      <c r="HW72" s="1012">
        <f t="shared" si="106"/>
        <v>152315</v>
      </c>
      <c r="HX72" s="1012">
        <f t="shared" si="106"/>
        <v>9515</v>
      </c>
      <c r="HY72" s="1012">
        <f t="shared" si="106"/>
        <v>382031</v>
      </c>
      <c r="IA72" s="1013" t="s">
        <v>447</v>
      </c>
      <c r="IB72" s="1012">
        <f t="shared" ref="IB72:IH72" si="107">SUM(IB51:IB71)</f>
        <v>0</v>
      </c>
      <c r="IC72" s="1012">
        <f t="shared" si="107"/>
        <v>46341</v>
      </c>
      <c r="ID72" s="1012">
        <f t="shared" si="107"/>
        <v>70735</v>
      </c>
      <c r="IE72" s="1012">
        <f t="shared" si="107"/>
        <v>112690</v>
      </c>
      <c r="IF72" s="1012">
        <f t="shared" si="107"/>
        <v>153157</v>
      </c>
      <c r="IG72" s="1012">
        <f t="shared" si="107"/>
        <v>9515</v>
      </c>
      <c r="IH72" s="1012">
        <f t="shared" si="107"/>
        <v>392438</v>
      </c>
      <c r="IJ72" s="1013" t="s">
        <v>447</v>
      </c>
      <c r="IK72" s="1012">
        <f t="shared" ref="IK72:IQ72" si="108">SUM(IK52:IK71)</f>
        <v>0</v>
      </c>
      <c r="IL72" s="1012">
        <f t="shared" si="108"/>
        <v>59732</v>
      </c>
      <c r="IM72" s="1012">
        <f t="shared" si="108"/>
        <v>67329</v>
      </c>
      <c r="IN72" s="1012">
        <f t="shared" si="108"/>
        <v>111403</v>
      </c>
      <c r="IO72" s="1012">
        <f t="shared" si="108"/>
        <v>158293</v>
      </c>
      <c r="IP72" s="1012">
        <f t="shared" si="108"/>
        <v>9515</v>
      </c>
      <c r="IQ72" s="1012">
        <f t="shared" si="108"/>
        <v>406272</v>
      </c>
    </row>
    <row r="73" spans="2:251" ht="15.5" hidden="1" x14ac:dyDescent="0.35">
      <c r="B73" s="1131"/>
      <c r="C73" s="865"/>
      <c r="D73" s="865"/>
      <c r="E73" s="865"/>
      <c r="F73" s="865"/>
      <c r="G73" s="1075"/>
      <c r="H73" s="865"/>
      <c r="I73" s="865"/>
      <c r="K73" s="1131"/>
      <c r="L73" s="865"/>
      <c r="M73" s="865"/>
      <c r="N73" s="865"/>
      <c r="O73" s="865"/>
      <c r="P73" s="1075"/>
      <c r="Q73" s="865"/>
      <c r="R73" s="865"/>
      <c r="T73" s="1131"/>
      <c r="U73" s="865"/>
      <c r="V73" s="865"/>
      <c r="W73" s="865"/>
      <c r="X73" s="865"/>
      <c r="Y73" s="1075"/>
      <c r="Z73" s="1075"/>
      <c r="AA73" s="865"/>
      <c r="AC73" s="1131"/>
      <c r="AD73" s="865"/>
      <c r="AE73" s="865"/>
      <c r="AF73" s="865"/>
      <c r="AG73" s="865"/>
      <c r="AH73" s="1075"/>
      <c r="AI73" s="1075"/>
      <c r="AJ73" s="865"/>
      <c r="AL73" s="1131"/>
      <c r="AM73" s="865"/>
      <c r="AN73" s="865"/>
      <c r="AO73" s="865"/>
      <c r="AP73" s="865"/>
      <c r="AQ73" s="1075"/>
      <c r="AR73" s="1075"/>
      <c r="AS73" s="865"/>
      <c r="AU73" s="1131"/>
      <c r="AV73" s="865"/>
      <c r="AW73" s="865"/>
      <c r="AX73" s="865"/>
      <c r="AY73" s="865"/>
      <c r="AZ73" s="1075"/>
      <c r="BA73" s="1075"/>
      <c r="BB73" s="865"/>
      <c r="BD73" s="1131"/>
      <c r="BE73" s="865"/>
      <c r="BF73" s="865"/>
      <c r="BG73" s="865"/>
      <c r="BH73" s="865"/>
      <c r="BI73" s="1075"/>
      <c r="BJ73" s="1075"/>
      <c r="BK73" s="865"/>
      <c r="BL73" s="1131"/>
      <c r="BM73" s="865"/>
      <c r="BN73" s="865"/>
      <c r="BO73" s="865"/>
      <c r="BP73" s="865"/>
      <c r="BQ73" s="1075"/>
      <c r="BR73" s="1075"/>
      <c r="BS73" s="865"/>
      <c r="BU73" s="1131"/>
      <c r="BV73" s="865"/>
      <c r="BW73" s="865"/>
      <c r="BX73" s="865"/>
      <c r="BY73" s="865"/>
      <c r="BZ73" s="1075"/>
      <c r="CA73" s="1075"/>
      <c r="CB73" s="865"/>
      <c r="CD73" s="1131"/>
      <c r="CE73" s="865"/>
      <c r="CF73" s="865"/>
      <c r="CG73" s="865"/>
      <c r="CH73" s="865"/>
      <c r="CI73" s="1075"/>
      <c r="CJ73" s="1075"/>
      <c r="CK73" s="865"/>
      <c r="CM73" s="1074"/>
      <c r="CN73" s="1073"/>
      <c r="CO73" s="1073"/>
      <c r="CP73" s="1073"/>
      <c r="CQ73" s="1073"/>
      <c r="CR73" s="1072"/>
      <c r="CS73" s="1072"/>
      <c r="CT73" s="1072"/>
      <c r="CV73" s="1009"/>
      <c r="CW73" s="1003"/>
      <c r="CX73" s="1003"/>
      <c r="CY73" s="1003"/>
      <c r="CZ73" s="1003"/>
      <c r="DA73" s="1004"/>
      <c r="DB73" s="1004"/>
      <c r="DC73" s="1003"/>
      <c r="DE73" s="1008"/>
      <c r="DF73" s="1005"/>
      <c r="DG73" s="1005"/>
      <c r="DH73" s="1005"/>
      <c r="DI73" s="1005"/>
      <c r="DJ73" s="1006"/>
      <c r="DK73" s="1006"/>
      <c r="DL73" s="1005"/>
      <c r="DN73" s="1008"/>
      <c r="DO73" s="1005"/>
      <c r="DP73" s="1005"/>
      <c r="DQ73" s="1005"/>
      <c r="DR73" s="1005"/>
      <c r="DS73" s="1006"/>
      <c r="DT73" s="1006"/>
      <c r="DU73" s="1005"/>
      <c r="DW73" s="1008"/>
      <c r="DX73" s="1005"/>
      <c r="DY73" s="1005"/>
      <c r="DZ73" s="1005"/>
      <c r="EA73" s="1005"/>
      <c r="EB73" s="1006"/>
      <c r="EC73" s="1006"/>
      <c r="ED73" s="1005"/>
      <c r="EF73" s="1008"/>
      <c r="EG73" s="1005"/>
      <c r="EH73" s="1005"/>
      <c r="EI73" s="1005"/>
      <c r="EJ73" s="1005"/>
      <c r="EK73" s="1006"/>
      <c r="EL73" s="1006"/>
      <c r="EM73" s="1005"/>
      <c r="EO73" s="1008"/>
      <c r="EP73" s="1005"/>
      <c r="EQ73" s="1005"/>
      <c r="ER73" s="1005"/>
      <c r="ES73" s="1005"/>
      <c r="ET73" s="1006"/>
      <c r="EU73" s="1006"/>
      <c r="EV73" s="1005"/>
      <c r="EX73" s="1008"/>
      <c r="EY73" s="1005"/>
      <c r="EZ73" s="1005"/>
      <c r="FA73" s="1005"/>
      <c r="FB73" s="1005"/>
      <c r="FC73" s="1006"/>
      <c r="FD73" s="1006"/>
      <c r="FE73" s="1005"/>
      <c r="FG73" s="1008"/>
      <c r="FH73" s="1005"/>
      <c r="FI73" s="1005"/>
      <c r="FJ73" s="1005"/>
      <c r="FK73" s="1005"/>
      <c r="FL73" s="1006"/>
      <c r="FM73" s="1006"/>
      <c r="FN73" s="1005"/>
      <c r="FP73" s="1008"/>
      <c r="FQ73" s="1005"/>
      <c r="FR73" s="1005"/>
      <c r="FS73" s="1005"/>
      <c r="FT73" s="1005"/>
      <c r="FU73" s="1006"/>
      <c r="FV73" s="1006"/>
      <c r="FW73" s="1005"/>
      <c r="FY73" s="1008"/>
      <c r="FZ73" s="1005"/>
      <c r="GA73" s="1005"/>
      <c r="GB73" s="1005"/>
      <c r="GC73" s="1005"/>
      <c r="GD73" s="1006"/>
      <c r="GE73" s="1006"/>
      <c r="GF73" s="1005"/>
      <c r="GH73" s="1008"/>
      <c r="GI73" s="1005"/>
      <c r="GJ73" s="1005"/>
      <c r="GK73" s="1005"/>
      <c r="GL73" s="1005"/>
      <c r="GM73" s="1006"/>
      <c r="GN73" s="1006"/>
      <c r="GO73" s="1005"/>
      <c r="GQ73" s="1008"/>
      <c r="GR73" s="1005"/>
      <c r="GS73" s="1005"/>
      <c r="GT73" s="1005"/>
      <c r="GU73" s="1005"/>
      <c r="GV73" s="1006"/>
      <c r="GW73" s="1006"/>
      <c r="GX73" s="1005"/>
      <c r="GZ73" s="1008"/>
      <c r="HA73" s="1005"/>
      <c r="HB73" s="1005"/>
      <c r="HC73" s="1005"/>
      <c r="HD73" s="1005"/>
      <c r="HE73" s="1006"/>
      <c r="HF73" s="1006"/>
      <c r="HG73" s="1005"/>
      <c r="HI73" s="1008"/>
      <c r="HJ73" s="1005"/>
      <c r="HK73" s="1005"/>
      <c r="HL73" s="1005"/>
      <c r="HM73" s="1005"/>
      <c r="HN73" s="1006"/>
      <c r="HO73" s="1006"/>
      <c r="HP73" s="1005"/>
      <c r="HR73" s="1008"/>
      <c r="HS73" s="1005"/>
      <c r="HT73" s="1005"/>
      <c r="HU73" s="1005"/>
      <c r="HV73" s="1005"/>
      <c r="HW73" s="1006"/>
      <c r="HX73" s="1006"/>
      <c r="HY73" s="1005"/>
      <c r="IA73" s="1008"/>
      <c r="IB73" s="1005"/>
      <c r="IC73" s="1005"/>
      <c r="ID73" s="1005"/>
      <c r="IE73" s="1005"/>
      <c r="IF73" s="1006"/>
      <c r="IG73" s="1006"/>
      <c r="IH73" s="1005"/>
      <c r="IJ73" s="1008"/>
      <c r="IK73" s="1005"/>
      <c r="IL73" s="1005"/>
      <c r="IM73" s="1005"/>
      <c r="IN73" s="1005"/>
      <c r="IO73" s="1006"/>
      <c r="IP73" s="1006"/>
      <c r="IQ73" s="1005"/>
    </row>
    <row r="74" spans="2:251" ht="15.5" hidden="1" x14ac:dyDescent="0.35">
      <c r="B74" s="1071" t="s">
        <v>929</v>
      </c>
      <c r="C74" s="103"/>
      <c r="D74" s="1071"/>
      <c r="E74" s="1071"/>
      <c r="F74" s="103"/>
      <c r="G74" s="1130"/>
      <c r="H74" s="1051"/>
      <c r="I74" s="103"/>
      <c r="K74" s="1071" t="s">
        <v>929</v>
      </c>
      <c r="L74" s="103"/>
      <c r="M74" s="1071"/>
      <c r="N74" s="1071"/>
      <c r="O74" s="103"/>
      <c r="P74" s="1130"/>
      <c r="Q74" s="1051"/>
      <c r="R74" s="103"/>
      <c r="T74" s="1071" t="s">
        <v>929</v>
      </c>
      <c r="U74" s="103"/>
      <c r="V74" s="1071"/>
      <c r="W74" s="1071"/>
      <c r="X74" s="103"/>
      <c r="Y74" s="1130"/>
      <c r="Z74" s="1051"/>
      <c r="AA74" s="103"/>
      <c r="AC74" s="1071" t="s">
        <v>929</v>
      </c>
      <c r="AD74" s="103"/>
      <c r="AE74" s="1071"/>
      <c r="AF74" s="1071"/>
      <c r="AG74" s="103"/>
      <c r="AH74" s="1130"/>
      <c r="AI74" s="1051"/>
      <c r="AJ74" s="103"/>
      <c r="AL74" s="1071" t="s">
        <v>929</v>
      </c>
      <c r="AM74" s="103"/>
      <c r="AN74" s="1071"/>
      <c r="AO74" s="1071"/>
      <c r="AP74" s="103"/>
      <c r="AQ74" s="1130"/>
      <c r="AR74" s="1051"/>
      <c r="AS74" s="103"/>
      <c r="AU74" s="1071" t="s">
        <v>929</v>
      </c>
      <c r="AV74" s="103"/>
      <c r="AW74" s="1071"/>
      <c r="AX74" s="1071"/>
      <c r="AY74" s="103"/>
      <c r="AZ74" s="1130"/>
      <c r="BA74" s="1051"/>
      <c r="BB74" s="103"/>
      <c r="BD74" s="1071" t="s">
        <v>929</v>
      </c>
      <c r="BE74" s="103"/>
      <c r="BF74" s="1071"/>
      <c r="BG74" s="1071"/>
      <c r="BH74" s="103"/>
      <c r="BI74" s="1130"/>
      <c r="BJ74" s="1051"/>
      <c r="BK74" s="103"/>
      <c r="BL74" s="1071" t="s">
        <v>929</v>
      </c>
      <c r="BM74" s="103"/>
      <c r="BN74" s="1071"/>
      <c r="BO74" s="1071"/>
      <c r="BP74" s="103"/>
      <c r="BQ74" s="1130"/>
      <c r="BR74" s="1051"/>
      <c r="BS74" s="103"/>
      <c r="BU74" s="1071" t="s">
        <v>929</v>
      </c>
      <c r="BV74" s="103"/>
      <c r="BW74" s="1071"/>
      <c r="BX74" s="1071"/>
      <c r="BY74" s="103"/>
      <c r="BZ74" s="1130"/>
      <c r="CA74" s="1051"/>
      <c r="CB74" s="103"/>
      <c r="CD74" s="1071" t="s">
        <v>929</v>
      </c>
      <c r="CE74" s="103"/>
      <c r="CF74" s="1071"/>
      <c r="CG74" s="1071"/>
      <c r="CH74" s="103"/>
      <c r="CI74" s="1130"/>
      <c r="CJ74" s="1051"/>
      <c r="CK74" s="103"/>
      <c r="CM74" s="1132" t="s">
        <v>928</v>
      </c>
      <c r="CN74" s="1063"/>
      <c r="CO74" s="1063"/>
      <c r="CP74" s="1063"/>
      <c r="CQ74" s="1063"/>
      <c r="CR74" s="1063"/>
      <c r="CS74" s="1063"/>
      <c r="CT74" s="1063"/>
      <c r="CV74" s="1132" t="s">
        <v>857</v>
      </c>
      <c r="CW74" s="1003"/>
      <c r="CX74" s="1003"/>
      <c r="CY74" s="1003"/>
      <c r="CZ74" s="1003"/>
      <c r="DA74" s="1004"/>
      <c r="DB74" s="1004"/>
      <c r="DC74" s="1003"/>
      <c r="DE74" s="1132" t="s">
        <v>856</v>
      </c>
      <c r="DF74" s="992"/>
      <c r="DG74" s="992"/>
      <c r="DH74" s="992"/>
      <c r="DI74" s="992"/>
      <c r="DJ74" s="992"/>
      <c r="DK74" s="992"/>
      <c r="DL74" s="992"/>
      <c r="DN74" s="1132" t="s">
        <v>855</v>
      </c>
      <c r="DO74" s="992"/>
      <c r="DP74" s="992"/>
      <c r="DQ74" s="992"/>
      <c r="DR74" s="992"/>
      <c r="DS74" s="992"/>
      <c r="DT74" s="992"/>
      <c r="DU74" s="992"/>
      <c r="DW74" s="1132" t="s">
        <v>854</v>
      </c>
      <c r="DX74" s="992"/>
      <c r="DY74" s="992"/>
      <c r="DZ74" s="992"/>
      <c r="EA74" s="992"/>
      <c r="EB74" s="992"/>
      <c r="EC74" s="992"/>
      <c r="ED74" s="992"/>
      <c r="EF74" s="1132" t="s">
        <v>853</v>
      </c>
      <c r="EG74" s="992"/>
      <c r="EH74" s="992"/>
      <c r="EI74" s="992"/>
      <c r="EJ74" s="992"/>
      <c r="EK74" s="992"/>
      <c r="EL74" s="992"/>
      <c r="EM74" s="992"/>
      <c r="EO74" s="1132" t="s">
        <v>852</v>
      </c>
      <c r="EP74" s="992"/>
      <c r="EQ74" s="992"/>
      <c r="ER74" s="992"/>
      <c r="ES74" s="992"/>
      <c r="ET74" s="992"/>
      <c r="EU74" s="992"/>
      <c r="EV74" s="992"/>
      <c r="EX74" s="1132" t="s">
        <v>851</v>
      </c>
      <c r="EY74" s="992"/>
      <c r="EZ74" s="992"/>
      <c r="FA74" s="992"/>
      <c r="FB74" s="992"/>
      <c r="FC74" s="992"/>
      <c r="FD74" s="992"/>
      <c r="FE74" s="992"/>
      <c r="FG74" s="1132" t="s">
        <v>850</v>
      </c>
      <c r="FH74" s="992"/>
      <c r="FI74" s="992"/>
      <c r="FJ74" s="992"/>
      <c r="FK74" s="992"/>
      <c r="FL74" s="992"/>
      <c r="FM74" s="992"/>
      <c r="FN74" s="992"/>
      <c r="FP74" s="1132" t="s">
        <v>849</v>
      </c>
      <c r="FQ74" s="992"/>
      <c r="FR74" s="992"/>
      <c r="FS74" s="992"/>
      <c r="FT74" s="992"/>
      <c r="FU74" s="992"/>
      <c r="FV74" s="992"/>
      <c r="FW74" s="992"/>
      <c r="FY74" s="1132" t="s">
        <v>848</v>
      </c>
      <c r="FZ74" s="992"/>
      <c r="GA74" s="992"/>
      <c r="GB74" s="992"/>
      <c r="GC74" s="992"/>
      <c r="GD74" s="992"/>
      <c r="GE74" s="992"/>
      <c r="GF74" s="992"/>
      <c r="GH74" s="1132" t="s">
        <v>847</v>
      </c>
      <c r="GI74" s="992"/>
      <c r="GJ74" s="992"/>
      <c r="GK74" s="992"/>
      <c r="GL74" s="992"/>
      <c r="GM74" s="992"/>
      <c r="GN74" s="992"/>
      <c r="GO74" s="992"/>
      <c r="GQ74" s="1132" t="s">
        <v>846</v>
      </c>
      <c r="GR74" s="992"/>
      <c r="GS74" s="992"/>
      <c r="GT74" s="992"/>
      <c r="GU74" s="992"/>
      <c r="GV74" s="992"/>
      <c r="GW74" s="992"/>
      <c r="GX74" s="992"/>
      <c r="GZ74" s="1132" t="s">
        <v>845</v>
      </c>
      <c r="HA74" s="992"/>
      <c r="HB74" s="992"/>
      <c r="HC74" s="992"/>
      <c r="HD74" s="992"/>
      <c r="HE74" s="992"/>
      <c r="HF74" s="992"/>
      <c r="HG74" s="992"/>
      <c r="HI74" s="1132" t="s">
        <v>844</v>
      </c>
      <c r="HJ74" s="992"/>
      <c r="HK74" s="992"/>
      <c r="HL74" s="992"/>
      <c r="HM74" s="992"/>
      <c r="HN74" s="992"/>
      <c r="HO74" s="992"/>
      <c r="HP74" s="992"/>
      <c r="HR74" s="1132" t="s">
        <v>843</v>
      </c>
      <c r="HS74" s="992"/>
      <c r="HT74" s="992"/>
      <c r="HU74" s="992"/>
      <c r="HV74" s="992"/>
      <c r="HW74" s="992"/>
      <c r="HX74" s="992"/>
      <c r="HY74" s="992"/>
      <c r="IA74" s="1132" t="s">
        <v>842</v>
      </c>
      <c r="IB74" s="992"/>
      <c r="IC74" s="992"/>
      <c r="ID74" s="992"/>
      <c r="IE74" s="992"/>
      <c r="IF74" s="992"/>
      <c r="IG74" s="992"/>
      <c r="IH74" s="992"/>
      <c r="IJ74" s="1132" t="s">
        <v>841</v>
      </c>
      <c r="IK74" s="992"/>
      <c r="IL74" s="992"/>
      <c r="IM74" s="992"/>
      <c r="IN74" s="992"/>
      <c r="IO74" s="992"/>
      <c r="IP74" s="992"/>
      <c r="IQ74" s="992"/>
    </row>
    <row r="75" spans="2:251" ht="15.5" hidden="1" x14ac:dyDescent="0.35">
      <c r="B75" s="1071"/>
      <c r="C75" s="1071"/>
      <c r="D75" s="1071"/>
      <c r="E75" s="1071"/>
      <c r="F75" s="1130"/>
      <c r="G75" s="1130"/>
      <c r="H75" s="1051"/>
      <c r="I75" s="103"/>
      <c r="K75" s="1071"/>
      <c r="L75" s="1071"/>
      <c r="M75" s="1071"/>
      <c r="N75" s="1071"/>
      <c r="O75" s="1130"/>
      <c r="P75" s="1130"/>
      <c r="Q75" s="1051"/>
      <c r="R75" s="103"/>
      <c r="T75" s="1071"/>
      <c r="U75" s="1071"/>
      <c r="V75" s="1071"/>
      <c r="W75" s="1071"/>
      <c r="X75" s="1130"/>
      <c r="Y75" s="1130"/>
      <c r="Z75" s="1051"/>
      <c r="AA75" s="103"/>
      <c r="AC75" s="1071"/>
      <c r="AD75" s="1071"/>
      <c r="AE75" s="1071"/>
      <c r="AF75" s="1071"/>
      <c r="AG75" s="1130"/>
      <c r="AH75" s="1130"/>
      <c r="AI75" s="1051"/>
      <c r="AJ75" s="103"/>
      <c r="AL75" s="1071"/>
      <c r="AM75" s="1071"/>
      <c r="AN75" s="1071"/>
      <c r="AO75" s="1071"/>
      <c r="AP75" s="1130"/>
      <c r="AQ75" s="1130"/>
      <c r="AR75" s="1051"/>
      <c r="AS75" s="103"/>
      <c r="AU75" s="1071"/>
      <c r="AV75" s="1071"/>
      <c r="AW75" s="1071"/>
      <c r="AX75" s="1071"/>
      <c r="AY75" s="1130"/>
      <c r="AZ75" s="1130"/>
      <c r="BA75" s="1051"/>
      <c r="BB75" s="103"/>
      <c r="BD75" s="1071"/>
      <c r="BE75" s="1071"/>
      <c r="BF75" s="1071"/>
      <c r="BG75" s="1071"/>
      <c r="BH75" s="1130"/>
      <c r="BI75" s="1130"/>
      <c r="BJ75" s="1051"/>
      <c r="BK75" s="103"/>
      <c r="BL75" s="1071"/>
      <c r="BM75" s="1071"/>
      <c r="BN75" s="1071"/>
      <c r="BO75" s="1071"/>
      <c r="BP75" s="1130"/>
      <c r="BQ75" s="1130"/>
      <c r="BR75" s="1051"/>
      <c r="BS75" s="103"/>
      <c r="BU75" s="1071"/>
      <c r="BV75" s="1071"/>
      <c r="BW75" s="1071"/>
      <c r="BX75" s="1071"/>
      <c r="BY75" s="1130"/>
      <c r="BZ75" s="1130"/>
      <c r="CA75" s="1051"/>
      <c r="CB75" s="103"/>
      <c r="CD75" s="1071"/>
      <c r="CE75" s="1071"/>
      <c r="CF75" s="1071"/>
      <c r="CG75" s="1071"/>
      <c r="CH75" s="1130"/>
      <c r="CI75" s="1130"/>
      <c r="CJ75" s="1051"/>
      <c r="CK75" s="103"/>
      <c r="CM75" s="1132"/>
      <c r="CN75" s="1063"/>
      <c r="CO75" s="1063"/>
      <c r="CP75" s="1063"/>
      <c r="CQ75" s="1063"/>
      <c r="CR75" s="1063"/>
      <c r="CS75" s="1063"/>
      <c r="CT75" s="1063"/>
      <c r="CV75" s="1133" t="s">
        <v>835</v>
      </c>
      <c r="CW75" s="1000"/>
      <c r="CX75" s="1000"/>
      <c r="CY75" s="1000"/>
      <c r="CZ75" s="1000"/>
      <c r="DA75" s="1000"/>
      <c r="DB75" s="1000"/>
      <c r="DC75" s="1002"/>
      <c r="DE75" s="1132"/>
      <c r="DF75" s="992"/>
      <c r="DG75" s="992"/>
      <c r="DH75" s="992"/>
      <c r="DI75" s="992"/>
      <c r="DJ75" s="992"/>
      <c r="DK75" s="992"/>
      <c r="DL75" s="992"/>
      <c r="DN75" s="1132"/>
      <c r="DO75" s="992"/>
      <c r="DP75" s="992"/>
      <c r="DQ75" s="992"/>
      <c r="DR75" s="992"/>
      <c r="DS75" s="992"/>
      <c r="DT75" s="992"/>
      <c r="DU75" s="992"/>
      <c r="DW75" s="1132"/>
      <c r="DX75" s="992"/>
      <c r="DY75" s="992"/>
      <c r="DZ75" s="992"/>
      <c r="EA75" s="992"/>
      <c r="EB75" s="992"/>
      <c r="EC75" s="992"/>
      <c r="ED75" s="992"/>
      <c r="EF75" s="1132"/>
      <c r="EG75" s="992"/>
      <c r="EH75" s="992"/>
      <c r="EI75" s="992"/>
      <c r="EJ75" s="992"/>
      <c r="EK75" s="992"/>
      <c r="EL75" s="992"/>
      <c r="EM75" s="992"/>
      <c r="EO75" s="1132"/>
      <c r="EP75" s="992"/>
      <c r="EQ75" s="992"/>
      <c r="ER75" s="992"/>
      <c r="ES75" s="992"/>
      <c r="ET75" s="992"/>
      <c r="EU75" s="992"/>
      <c r="EV75" s="992"/>
      <c r="EX75" s="1132"/>
      <c r="EY75" s="992"/>
      <c r="EZ75" s="992"/>
      <c r="FA75" s="992"/>
      <c r="FB75" s="992"/>
      <c r="FC75" s="992"/>
      <c r="FD75" s="992"/>
      <c r="FE75" s="992"/>
      <c r="FG75" s="1132"/>
      <c r="FH75" s="992"/>
      <c r="FI75" s="992"/>
      <c r="FJ75" s="992"/>
      <c r="FK75" s="992"/>
      <c r="FL75" s="992"/>
      <c r="FM75" s="992"/>
      <c r="FN75" s="992"/>
      <c r="FP75" s="1132"/>
      <c r="FQ75" s="992"/>
      <c r="FR75" s="992"/>
      <c r="FS75" s="992"/>
      <c r="FT75" s="992"/>
      <c r="FU75" s="992"/>
      <c r="FV75" s="992"/>
      <c r="FW75" s="992"/>
      <c r="FY75" s="1132"/>
      <c r="FZ75" s="992"/>
      <c r="GA75" s="992"/>
      <c r="GB75" s="992"/>
      <c r="GC75" s="992"/>
      <c r="GD75" s="992"/>
      <c r="GE75" s="992"/>
      <c r="GF75" s="992"/>
      <c r="GH75" s="1132"/>
      <c r="GI75" s="992"/>
      <c r="GJ75" s="992"/>
      <c r="GK75" s="992"/>
      <c r="GL75" s="992"/>
      <c r="GM75" s="992"/>
      <c r="GN75" s="992"/>
      <c r="GO75" s="992"/>
      <c r="GQ75" s="1132"/>
      <c r="GR75" s="992"/>
      <c r="GS75" s="992"/>
      <c r="GT75" s="992"/>
      <c r="GU75" s="992"/>
      <c r="GV75" s="992"/>
      <c r="GW75" s="992"/>
      <c r="GX75" s="992"/>
      <c r="GZ75" s="1132"/>
      <c r="HA75" s="992"/>
      <c r="HB75" s="992"/>
      <c r="HC75" s="992"/>
      <c r="HD75" s="992"/>
      <c r="HE75" s="992"/>
      <c r="HF75" s="992"/>
      <c r="HG75" s="992"/>
      <c r="HI75" s="1132"/>
      <c r="HJ75" s="992"/>
      <c r="HK75" s="992"/>
      <c r="HL75" s="992"/>
      <c r="HM75" s="992"/>
      <c r="HN75" s="992"/>
      <c r="HO75" s="992"/>
      <c r="HP75" s="992"/>
      <c r="HR75" s="1132"/>
      <c r="HS75" s="992"/>
      <c r="HT75" s="992"/>
      <c r="HU75" s="992"/>
      <c r="HV75" s="992"/>
      <c r="HW75" s="992"/>
      <c r="HX75" s="992"/>
      <c r="HY75" s="992"/>
      <c r="IA75" s="1132"/>
      <c r="IB75" s="992"/>
      <c r="IC75" s="992"/>
      <c r="ID75" s="992"/>
      <c r="IE75" s="992"/>
      <c r="IF75" s="992"/>
      <c r="IG75" s="992"/>
      <c r="IH75" s="992"/>
      <c r="IJ75" s="1132"/>
      <c r="IK75" s="992"/>
      <c r="IL75" s="992"/>
      <c r="IM75" s="992"/>
      <c r="IN75" s="992"/>
      <c r="IO75" s="992"/>
      <c r="IP75" s="992"/>
      <c r="IQ75" s="992"/>
    </row>
    <row r="76" spans="2:251" ht="30" hidden="1" x14ac:dyDescent="0.35">
      <c r="B76" s="1069" t="s">
        <v>472</v>
      </c>
      <c r="C76" s="1070" t="s">
        <v>927</v>
      </c>
      <c r="D76" s="1070" t="s">
        <v>926</v>
      </c>
      <c r="E76" s="1070" t="s">
        <v>925</v>
      </c>
      <c r="F76" s="1070" t="s">
        <v>924</v>
      </c>
      <c r="G76" s="1069" t="s">
        <v>447</v>
      </c>
      <c r="H76" s="1051"/>
      <c r="I76" s="103"/>
      <c r="K76" s="1069" t="s">
        <v>472</v>
      </c>
      <c r="L76" s="1070" t="s">
        <v>927</v>
      </c>
      <c r="M76" s="1070" t="s">
        <v>926</v>
      </c>
      <c r="N76" s="1070" t="s">
        <v>925</v>
      </c>
      <c r="O76" s="1070" t="s">
        <v>924</v>
      </c>
      <c r="P76" s="1069" t="s">
        <v>447</v>
      </c>
      <c r="Q76" s="1051"/>
      <c r="R76" s="103"/>
      <c r="T76" s="1069" t="s">
        <v>472</v>
      </c>
      <c r="U76" s="1070" t="s">
        <v>927</v>
      </c>
      <c r="V76" s="1070" t="s">
        <v>926</v>
      </c>
      <c r="W76" s="1070" t="s">
        <v>925</v>
      </c>
      <c r="X76" s="1070" t="s">
        <v>924</v>
      </c>
      <c r="Y76" s="1069" t="s">
        <v>447</v>
      </c>
      <c r="Z76" s="1051"/>
      <c r="AA76" s="103"/>
      <c r="AC76" s="1069" t="s">
        <v>472</v>
      </c>
      <c r="AD76" s="1070" t="s">
        <v>927</v>
      </c>
      <c r="AE76" s="1070" t="s">
        <v>926</v>
      </c>
      <c r="AF76" s="1070" t="s">
        <v>925</v>
      </c>
      <c r="AG76" s="1070" t="s">
        <v>924</v>
      </c>
      <c r="AH76" s="1069" t="s">
        <v>447</v>
      </c>
      <c r="AI76" s="1051"/>
      <c r="AJ76" s="1051"/>
      <c r="AL76" s="1069" t="s">
        <v>472</v>
      </c>
      <c r="AM76" s="1070" t="s">
        <v>927</v>
      </c>
      <c r="AN76" s="1070" t="s">
        <v>926</v>
      </c>
      <c r="AO76" s="1070" t="s">
        <v>925</v>
      </c>
      <c r="AP76" s="1070" t="s">
        <v>924</v>
      </c>
      <c r="AQ76" s="1069" t="s">
        <v>447</v>
      </c>
      <c r="AR76" s="1051"/>
      <c r="AS76" s="1051"/>
      <c r="AU76" s="1069" t="s">
        <v>472</v>
      </c>
      <c r="AV76" s="1070" t="s">
        <v>927</v>
      </c>
      <c r="AW76" s="1070" t="s">
        <v>926</v>
      </c>
      <c r="AX76" s="1070" t="s">
        <v>925</v>
      </c>
      <c r="AY76" s="1070" t="s">
        <v>924</v>
      </c>
      <c r="AZ76" s="1069" t="s">
        <v>447</v>
      </c>
      <c r="BA76" s="1051"/>
      <c r="BB76" s="1051"/>
      <c r="BD76" s="1069" t="s">
        <v>472</v>
      </c>
      <c r="BE76" s="1070" t="s">
        <v>927</v>
      </c>
      <c r="BF76" s="1070" t="s">
        <v>926</v>
      </c>
      <c r="BG76" s="1070" t="s">
        <v>925</v>
      </c>
      <c r="BH76" s="1070" t="s">
        <v>924</v>
      </c>
      <c r="BI76" s="1069" t="s">
        <v>447</v>
      </c>
      <c r="BJ76" s="1051"/>
      <c r="BK76" s="1051"/>
      <c r="BL76" s="1069" t="s">
        <v>472</v>
      </c>
      <c r="BM76" s="1070" t="s">
        <v>927</v>
      </c>
      <c r="BN76" s="1070" t="s">
        <v>926</v>
      </c>
      <c r="BO76" s="1070" t="s">
        <v>925</v>
      </c>
      <c r="BP76" s="1070" t="s">
        <v>924</v>
      </c>
      <c r="BQ76" s="1069" t="s">
        <v>447</v>
      </c>
      <c r="BR76" s="1051"/>
      <c r="BS76" s="1051"/>
      <c r="BU76" s="1069" t="s">
        <v>472</v>
      </c>
      <c r="BV76" s="1070" t="s">
        <v>927</v>
      </c>
      <c r="BW76" s="1070" t="s">
        <v>926</v>
      </c>
      <c r="BX76" s="1070" t="s">
        <v>925</v>
      </c>
      <c r="BY76" s="1070" t="s">
        <v>924</v>
      </c>
      <c r="BZ76" s="1069" t="s">
        <v>447</v>
      </c>
      <c r="CA76" s="1051"/>
      <c r="CB76" s="1051"/>
      <c r="CD76" s="1069" t="s">
        <v>472</v>
      </c>
      <c r="CE76" s="1070" t="s">
        <v>927</v>
      </c>
      <c r="CF76" s="1070" t="s">
        <v>926</v>
      </c>
      <c r="CG76" s="1070" t="s">
        <v>925</v>
      </c>
      <c r="CH76" s="1070" t="s">
        <v>924</v>
      </c>
      <c r="CI76" s="1069" t="s">
        <v>447</v>
      </c>
      <c r="CJ76" s="1051"/>
      <c r="CK76" s="1051"/>
      <c r="CM76" s="1133" t="s">
        <v>923</v>
      </c>
      <c r="CN76" s="1063"/>
      <c r="CO76" s="1063"/>
      <c r="CP76" s="1063"/>
      <c r="CQ76" s="1063"/>
      <c r="CR76" s="1068"/>
      <c r="CS76" s="1063"/>
      <c r="CT76" s="1063"/>
      <c r="CV76" s="1133" t="s">
        <v>812</v>
      </c>
      <c r="CW76" s="1000"/>
      <c r="CX76" s="1000"/>
      <c r="CY76" s="1000"/>
      <c r="CZ76" s="1000"/>
      <c r="DA76" s="1000"/>
      <c r="DB76" s="1000"/>
      <c r="DC76" s="1000"/>
      <c r="DE76" s="1133" t="s">
        <v>832</v>
      </c>
      <c r="DF76" s="992"/>
      <c r="DG76" s="992"/>
      <c r="DH76" s="992"/>
      <c r="DI76" s="992"/>
      <c r="DJ76" s="999"/>
      <c r="DK76" s="992"/>
      <c r="DL76" s="992"/>
      <c r="DN76" s="1133" t="s">
        <v>831</v>
      </c>
      <c r="DO76" s="992"/>
      <c r="DP76" s="992"/>
      <c r="DQ76" s="992"/>
      <c r="DR76" s="992"/>
      <c r="DS76" s="999"/>
      <c r="DT76" s="992"/>
      <c r="DU76" s="992"/>
      <c r="DW76" s="1133" t="s">
        <v>830</v>
      </c>
      <c r="DX76" s="992"/>
      <c r="DY76" s="992"/>
      <c r="DZ76" s="992"/>
      <c r="EA76" s="992"/>
      <c r="EB76" s="999"/>
      <c r="EC76" s="992"/>
      <c r="ED76" s="992"/>
      <c r="EF76" s="1133" t="s">
        <v>829</v>
      </c>
      <c r="EG76" s="992"/>
      <c r="EH76" s="992"/>
      <c r="EI76" s="992"/>
      <c r="EJ76" s="992"/>
      <c r="EK76" s="999"/>
      <c r="EL76" s="992"/>
      <c r="EM76" s="992"/>
      <c r="EO76" s="1133" t="s">
        <v>828</v>
      </c>
      <c r="EP76" s="992"/>
      <c r="EQ76" s="992"/>
      <c r="ER76" s="992"/>
      <c r="ES76" s="992"/>
      <c r="ET76" s="999"/>
      <c r="EU76" s="992"/>
      <c r="EV76" s="992"/>
      <c r="EX76" s="1133" t="s">
        <v>827</v>
      </c>
      <c r="EY76" s="992"/>
      <c r="EZ76" s="992"/>
      <c r="FA76" s="992"/>
      <c r="FB76" s="992"/>
      <c r="FC76" s="999"/>
      <c r="FD76" s="992"/>
      <c r="FE76" s="992"/>
      <c r="FG76" s="1133" t="s">
        <v>826</v>
      </c>
      <c r="FH76" s="992"/>
      <c r="FI76" s="992"/>
      <c r="FJ76" s="992"/>
      <c r="FK76" s="992"/>
      <c r="FL76" s="999"/>
      <c r="FM76" s="992"/>
      <c r="FN76" s="992"/>
      <c r="FP76" s="1133" t="s">
        <v>825</v>
      </c>
      <c r="FQ76" s="992"/>
      <c r="FR76" s="992"/>
      <c r="FS76" s="992"/>
      <c r="FT76" s="992"/>
      <c r="FU76" s="999"/>
      <c r="FV76" s="992"/>
      <c r="FW76" s="992"/>
      <c r="FY76" s="1133" t="s">
        <v>824</v>
      </c>
      <c r="FZ76" s="992"/>
      <c r="GA76" s="992"/>
      <c r="GB76" s="992"/>
      <c r="GC76" s="992"/>
      <c r="GD76" s="999"/>
      <c r="GE76" s="992"/>
      <c r="GF76" s="992"/>
      <c r="GH76" s="1133" t="s">
        <v>823</v>
      </c>
      <c r="GI76" s="992"/>
      <c r="GJ76" s="992"/>
      <c r="GK76" s="992"/>
      <c r="GL76" s="992"/>
      <c r="GM76" s="999"/>
      <c r="GN76" s="992"/>
      <c r="GO76" s="992"/>
      <c r="GQ76" s="1133" t="s">
        <v>822</v>
      </c>
      <c r="GR76" s="992"/>
      <c r="GS76" s="992"/>
      <c r="GT76" s="992"/>
      <c r="GU76" s="992"/>
      <c r="GV76" s="999"/>
      <c r="GW76" s="992"/>
      <c r="GX76" s="992"/>
      <c r="GZ76" s="1133" t="s">
        <v>821</v>
      </c>
      <c r="HA76" s="992"/>
      <c r="HB76" s="992"/>
      <c r="HC76" s="992"/>
      <c r="HD76" s="992"/>
      <c r="HE76" s="999"/>
      <c r="HF76" s="992"/>
      <c r="HG76" s="992"/>
      <c r="HI76" s="1133" t="s">
        <v>820</v>
      </c>
      <c r="HJ76" s="992"/>
      <c r="HK76" s="992"/>
      <c r="HL76" s="992"/>
      <c r="HM76" s="992"/>
      <c r="HN76" s="999"/>
      <c r="HO76" s="992"/>
      <c r="HP76" s="992"/>
      <c r="HR76" s="1133" t="s">
        <v>819</v>
      </c>
      <c r="HS76" s="992"/>
      <c r="HT76" s="992"/>
      <c r="HU76" s="992"/>
      <c r="HV76" s="992"/>
      <c r="HW76" s="999"/>
      <c r="HX76" s="992"/>
      <c r="HY76" s="992"/>
      <c r="IA76" s="1133" t="s">
        <v>818</v>
      </c>
      <c r="IB76" s="992"/>
      <c r="IC76" s="992"/>
      <c r="ID76" s="992"/>
      <c r="IE76" s="992"/>
      <c r="IF76" s="999"/>
      <c r="IG76" s="992"/>
      <c r="IH76" s="992"/>
      <c r="IJ76" s="1133" t="s">
        <v>817</v>
      </c>
      <c r="IK76" s="992"/>
      <c r="IL76" s="992"/>
      <c r="IM76" s="992"/>
      <c r="IN76" s="992"/>
      <c r="IO76" s="999"/>
      <c r="IP76" s="992"/>
      <c r="IQ76" s="992"/>
    </row>
    <row r="77" spans="2:251" ht="15.5" hidden="1" x14ac:dyDescent="0.35">
      <c r="B77" s="1065"/>
      <c r="C77" s="1058"/>
      <c r="D77" s="1067"/>
      <c r="E77" s="1064"/>
      <c r="F77" s="1067"/>
      <c r="G77" s="1066"/>
      <c r="H77" s="103"/>
      <c r="I77" s="103"/>
      <c r="K77" s="1065"/>
      <c r="L77" s="1058"/>
      <c r="M77" s="1202"/>
      <c r="N77" s="1064"/>
      <c r="O77" s="1067"/>
      <c r="P77" s="1066"/>
      <c r="Q77" s="103"/>
      <c r="R77" s="103"/>
      <c r="T77" s="1065"/>
      <c r="U77" s="1058"/>
      <c r="V77" s="1202"/>
      <c r="W77" s="1064"/>
      <c r="X77" s="1067"/>
      <c r="Y77" s="1066"/>
      <c r="Z77" s="103"/>
      <c r="AA77" s="103"/>
      <c r="AC77" s="1065"/>
      <c r="AD77" s="1058"/>
      <c r="AE77" s="1202"/>
      <c r="AF77" s="1064"/>
      <c r="AG77" s="1067"/>
      <c r="AH77" s="1066"/>
      <c r="AI77" s="103"/>
      <c r="AJ77" s="103"/>
      <c r="AL77" s="1065"/>
      <c r="AM77" s="1058"/>
      <c r="AN77" s="1202"/>
      <c r="AO77" s="1064"/>
      <c r="AP77" s="1067"/>
      <c r="AQ77" s="1066"/>
      <c r="AR77" s="103"/>
      <c r="AS77" s="103"/>
      <c r="AU77" s="1065"/>
      <c r="AV77" s="1058"/>
      <c r="AW77" s="1202"/>
      <c r="AX77" s="1064"/>
      <c r="AY77" s="1067"/>
      <c r="AZ77" s="1066"/>
      <c r="BA77" s="103"/>
      <c r="BB77" s="103"/>
      <c r="BD77" s="1065"/>
      <c r="BE77" s="1058"/>
      <c r="BF77" s="1202"/>
      <c r="BG77" s="1064"/>
      <c r="BH77" s="1067"/>
      <c r="BI77" s="1066"/>
      <c r="BJ77" s="103"/>
      <c r="BK77" s="103"/>
      <c r="BL77" s="1065"/>
      <c r="BM77" s="1058"/>
      <c r="BN77" s="1202"/>
      <c r="BO77" s="1064"/>
      <c r="BP77" s="1067"/>
      <c r="BQ77" s="1066"/>
      <c r="BR77" s="103"/>
      <c r="BS77" s="103"/>
      <c r="BU77" s="1065"/>
      <c r="BV77" s="1058"/>
      <c r="BW77" s="1202"/>
      <c r="BX77" s="1064"/>
      <c r="BY77" s="1067"/>
      <c r="BZ77" s="1066"/>
      <c r="CA77" s="103"/>
      <c r="CB77" s="103"/>
      <c r="CD77" s="1065"/>
      <c r="CE77" s="1058"/>
      <c r="CF77" s="1202"/>
      <c r="CG77" s="1064"/>
      <c r="CH77" s="1067"/>
      <c r="CI77" s="1066"/>
      <c r="CJ77" s="103"/>
      <c r="CK77" s="103"/>
      <c r="CM77" s="1133" t="s">
        <v>812</v>
      </c>
      <c r="CN77" s="1063"/>
      <c r="CO77" s="1063"/>
      <c r="CP77" s="1063"/>
      <c r="CQ77" s="1063"/>
      <c r="CR77" s="1063"/>
      <c r="CS77" s="1063"/>
      <c r="CT77" s="1063"/>
      <c r="DE77" s="1133" t="s">
        <v>812</v>
      </c>
      <c r="DF77" s="992"/>
      <c r="DG77" s="992"/>
      <c r="DH77" s="992"/>
      <c r="DI77" s="992"/>
      <c r="DJ77" s="992"/>
      <c r="DK77" s="992"/>
      <c r="DL77" s="992"/>
      <c r="DN77" s="1133" t="s">
        <v>812</v>
      </c>
      <c r="DO77" s="992"/>
      <c r="DP77" s="992"/>
      <c r="DQ77" s="992"/>
      <c r="DR77" s="992"/>
      <c r="DS77" s="992"/>
      <c r="DT77" s="992"/>
      <c r="DU77" s="992"/>
      <c r="DW77" s="1133" t="s">
        <v>812</v>
      </c>
      <c r="DX77" s="992"/>
      <c r="DY77" s="992"/>
      <c r="DZ77" s="992"/>
      <c r="EA77" s="992"/>
      <c r="EB77" s="992"/>
      <c r="EC77" s="992"/>
      <c r="ED77" s="992"/>
      <c r="EF77" s="1133" t="s">
        <v>812</v>
      </c>
      <c r="EG77" s="992"/>
      <c r="EH77" s="992"/>
      <c r="EI77" s="992"/>
      <c r="EJ77" s="992"/>
      <c r="EK77" s="992"/>
      <c r="EL77" s="992"/>
      <c r="EM77" s="992"/>
      <c r="EO77" s="1133" t="s">
        <v>812</v>
      </c>
      <c r="EP77" s="992"/>
      <c r="EQ77" s="992"/>
      <c r="ER77" s="992"/>
      <c r="ES77" s="992"/>
      <c r="ET77" s="992"/>
      <c r="EU77" s="992"/>
      <c r="EV77" s="992"/>
      <c r="EX77" s="1133" t="s">
        <v>812</v>
      </c>
      <c r="EY77" s="992"/>
      <c r="EZ77" s="992"/>
      <c r="FA77" s="992"/>
      <c r="FB77" s="992"/>
      <c r="FC77" s="992"/>
      <c r="FD77" s="992"/>
      <c r="FE77" s="992"/>
      <c r="FG77" s="1133" t="s">
        <v>812</v>
      </c>
      <c r="FH77" s="992"/>
      <c r="FI77" s="992"/>
      <c r="FJ77" s="992"/>
      <c r="FK77" s="992"/>
      <c r="FL77" s="992"/>
      <c r="FM77" s="992"/>
      <c r="FN77" s="992"/>
      <c r="FP77" s="1133" t="s">
        <v>812</v>
      </c>
      <c r="FQ77" s="992"/>
      <c r="FR77" s="992"/>
      <c r="FS77" s="992"/>
      <c r="FT77" s="992"/>
      <c r="FU77" s="992"/>
      <c r="FV77" s="992"/>
      <c r="FW77" s="992"/>
      <c r="FY77" s="1133" t="s">
        <v>812</v>
      </c>
      <c r="FZ77" s="992"/>
      <c r="GA77" s="992"/>
      <c r="GB77" s="992"/>
      <c r="GC77" s="992"/>
      <c r="GD77" s="992"/>
      <c r="GE77" s="992"/>
      <c r="GF77" s="992"/>
      <c r="GH77" s="1133" t="s">
        <v>812</v>
      </c>
      <c r="GI77" s="992"/>
      <c r="GJ77" s="992"/>
      <c r="GK77" s="992"/>
      <c r="GL77" s="992"/>
      <c r="GM77" s="992"/>
      <c r="GN77" s="992"/>
      <c r="GO77" s="992"/>
      <c r="GQ77" s="1133" t="s">
        <v>812</v>
      </c>
      <c r="GR77" s="992"/>
      <c r="GS77" s="992"/>
      <c r="GT77" s="992"/>
      <c r="GU77" s="992"/>
      <c r="GV77" s="992"/>
      <c r="GW77" s="992"/>
      <c r="GX77" s="992"/>
      <c r="GZ77" s="1133" t="s">
        <v>812</v>
      </c>
      <c r="HA77" s="992"/>
      <c r="HB77" s="992"/>
      <c r="HC77" s="992"/>
      <c r="HD77" s="992"/>
      <c r="HE77" s="992"/>
      <c r="HF77" s="992"/>
      <c r="HG77" s="992"/>
      <c r="HI77" s="1133" t="s">
        <v>812</v>
      </c>
      <c r="HJ77" s="992"/>
      <c r="HK77" s="992"/>
      <c r="HL77" s="992"/>
      <c r="HM77" s="992"/>
      <c r="HN77" s="992"/>
      <c r="HO77" s="992"/>
      <c r="HP77" s="992"/>
      <c r="HR77" s="1133" t="s">
        <v>812</v>
      </c>
      <c r="HS77" s="992"/>
      <c r="HT77" s="992"/>
      <c r="HU77" s="992"/>
      <c r="HV77" s="992"/>
      <c r="HW77" s="992"/>
      <c r="HX77" s="992"/>
      <c r="HY77" s="992"/>
      <c r="IA77" s="1133" t="s">
        <v>812</v>
      </c>
      <c r="IB77" s="992"/>
      <c r="IC77" s="992"/>
      <c r="ID77" s="992"/>
      <c r="IE77" s="992"/>
      <c r="IF77" s="992"/>
      <c r="IG77" s="992"/>
      <c r="IH77" s="992"/>
      <c r="IJ77" s="1133" t="s">
        <v>812</v>
      </c>
      <c r="IK77" s="992"/>
      <c r="IL77" s="992"/>
      <c r="IM77" s="992"/>
      <c r="IN77" s="992"/>
      <c r="IO77" s="992"/>
      <c r="IP77" s="992"/>
      <c r="IQ77" s="992"/>
    </row>
    <row r="78" spans="2:251" ht="15.5" hidden="1" x14ac:dyDescent="0.35">
      <c r="B78" s="1058" t="s">
        <v>922</v>
      </c>
      <c r="C78" s="1061">
        <v>5180</v>
      </c>
      <c r="D78" s="1060"/>
      <c r="E78" s="1061">
        <v>289</v>
      </c>
      <c r="F78" s="1060"/>
      <c r="G78" s="1059">
        <f>SUM(C78:F78)</f>
        <v>5469</v>
      </c>
      <c r="H78" s="103"/>
      <c r="I78" s="103"/>
      <c r="K78" s="1058" t="s">
        <v>922</v>
      </c>
      <c r="L78" s="1061">
        <v>2752</v>
      </c>
      <c r="M78" s="1060"/>
      <c r="N78" s="1061">
        <v>78</v>
      </c>
      <c r="O78" s="1060"/>
      <c r="P78" s="1059">
        <f>SUM(L78:O78)</f>
        <v>2830</v>
      </c>
      <c r="Q78" s="103"/>
      <c r="R78" s="103"/>
      <c r="T78" s="1058" t="s">
        <v>922</v>
      </c>
      <c r="U78" s="1061">
        <v>127</v>
      </c>
      <c r="V78" s="1060"/>
      <c r="W78" s="1061"/>
      <c r="X78" s="1060"/>
      <c r="Y78" s="1059">
        <f>SUM(U78:X78)</f>
        <v>127</v>
      </c>
      <c r="Z78" s="103"/>
      <c r="AA78" s="103"/>
      <c r="AC78" s="1058" t="s">
        <v>922</v>
      </c>
      <c r="AD78" s="1061"/>
      <c r="AE78" s="1060"/>
      <c r="AF78" s="1061"/>
      <c r="AG78" s="1060"/>
      <c r="AH78" s="1059">
        <f>SUM(AD78:AG78)</f>
        <v>0</v>
      </c>
      <c r="AI78" s="103"/>
      <c r="AJ78" s="103"/>
      <c r="AL78" s="1058" t="s">
        <v>922</v>
      </c>
      <c r="AM78" s="1061"/>
      <c r="AN78" s="1060"/>
      <c r="AO78" s="1061"/>
      <c r="AP78" s="1060"/>
      <c r="AQ78" s="1062">
        <f>SUM(AM78:AP78)</f>
        <v>0</v>
      </c>
      <c r="AR78" s="103"/>
      <c r="AS78" s="103"/>
      <c r="AU78" s="1058" t="s">
        <v>922</v>
      </c>
      <c r="AV78" s="1061"/>
      <c r="AW78" s="1060"/>
      <c r="AX78" s="1061"/>
      <c r="AY78" s="1060"/>
      <c r="AZ78" s="1059">
        <f>SUM(AV78:AY78)</f>
        <v>0</v>
      </c>
      <c r="BA78" s="103"/>
      <c r="BB78" s="103"/>
      <c r="BD78" s="1058" t="s">
        <v>922</v>
      </c>
      <c r="BE78" s="1061"/>
      <c r="BF78" s="1060"/>
      <c r="BG78" s="1061"/>
      <c r="BH78" s="1060"/>
      <c r="BI78" s="1062">
        <f>SUM(BE78:BH78)</f>
        <v>0</v>
      </c>
      <c r="BJ78" s="103"/>
      <c r="BK78" s="103"/>
      <c r="BL78" s="1058" t="s">
        <v>922</v>
      </c>
      <c r="BM78" s="1061"/>
      <c r="BN78" s="1060"/>
      <c r="BO78" s="1061"/>
      <c r="BP78" s="1060"/>
      <c r="BQ78" s="1062">
        <f>SUM(BM78:BP78)</f>
        <v>0</v>
      </c>
      <c r="BR78" s="103"/>
      <c r="BS78" s="103"/>
      <c r="BU78" s="1058" t="s">
        <v>920</v>
      </c>
      <c r="BV78" s="1061"/>
      <c r="BW78" s="1060"/>
      <c r="BX78" s="1061"/>
      <c r="BY78" s="1060">
        <v>269</v>
      </c>
      <c r="BZ78" s="1059">
        <f>SUM(BV78:BY78)</f>
        <v>269</v>
      </c>
      <c r="CA78" s="103"/>
      <c r="CB78" s="103"/>
      <c r="CD78" s="1058" t="s">
        <v>920</v>
      </c>
      <c r="CE78" s="1061"/>
      <c r="CF78" s="1060"/>
      <c r="CG78" s="1061"/>
      <c r="CH78" s="1060">
        <v>114</v>
      </c>
      <c r="CI78" s="1059">
        <f>SUM(CE78:CH78)</f>
        <v>114</v>
      </c>
      <c r="CJ78" s="103"/>
      <c r="CK78" s="103"/>
    </row>
    <row r="79" spans="2:251" ht="15.5" hidden="1" x14ac:dyDescent="0.35">
      <c r="B79" s="1058" t="s">
        <v>921</v>
      </c>
      <c r="C79" s="1061"/>
      <c r="D79" s="1060"/>
      <c r="E79" s="1061"/>
      <c r="F79" s="1060"/>
      <c r="G79" s="1062">
        <f>SUM(C79:F79)</f>
        <v>0</v>
      </c>
      <c r="H79" s="103"/>
      <c r="I79" s="103"/>
      <c r="K79" s="1058" t="s">
        <v>921</v>
      </c>
      <c r="L79" s="1061"/>
      <c r="M79" s="1060"/>
      <c r="N79" s="1061"/>
      <c r="O79" s="1060"/>
      <c r="P79" s="1062">
        <f>SUM(L79:O79)</f>
        <v>0</v>
      </c>
      <c r="Q79" s="103"/>
      <c r="R79" s="103"/>
      <c r="T79" s="1058" t="s">
        <v>921</v>
      </c>
      <c r="U79" s="1061"/>
      <c r="V79" s="1060"/>
      <c r="W79" s="1061"/>
      <c r="X79" s="1060"/>
      <c r="Y79" s="1062">
        <f>SUM(U79:X79)</f>
        <v>0</v>
      </c>
      <c r="Z79" s="103"/>
      <c r="AA79" s="103"/>
      <c r="AC79" s="1058" t="s">
        <v>921</v>
      </c>
      <c r="AD79" s="1061"/>
      <c r="AE79" s="1060"/>
      <c r="AF79" s="1061"/>
      <c r="AG79" s="1060"/>
      <c r="AH79" s="1062">
        <f>SUM(AD79:AG79)</f>
        <v>0</v>
      </c>
      <c r="AI79" s="103"/>
      <c r="AJ79" s="103"/>
      <c r="AL79" s="1058" t="s">
        <v>921</v>
      </c>
      <c r="AM79" s="1061"/>
      <c r="AN79" s="1060"/>
      <c r="AO79" s="1061"/>
      <c r="AP79" s="1060"/>
      <c r="AQ79" s="1062">
        <f>SUM(AM79:AP79)</f>
        <v>0</v>
      </c>
      <c r="AR79" s="103"/>
      <c r="AS79" s="103"/>
      <c r="AU79" s="1058" t="s">
        <v>921</v>
      </c>
      <c r="AV79" s="1061"/>
      <c r="AW79" s="1060"/>
      <c r="AX79" s="1061"/>
      <c r="AY79" s="1060"/>
      <c r="AZ79" s="1059">
        <f>SUM(AV79:AY79)</f>
        <v>0</v>
      </c>
      <c r="BA79" s="103"/>
      <c r="BB79" s="103"/>
      <c r="BD79" s="1058" t="s">
        <v>921</v>
      </c>
      <c r="BE79" s="1061"/>
      <c r="BF79" s="1060"/>
      <c r="BG79" s="1061"/>
      <c r="BH79" s="1060"/>
      <c r="BI79" s="1062">
        <f>SUM(BE79:BH79)</f>
        <v>0</v>
      </c>
      <c r="BJ79" s="103"/>
      <c r="BK79" s="103"/>
      <c r="BL79" s="1058" t="s">
        <v>921</v>
      </c>
      <c r="BM79" s="1061"/>
      <c r="BN79" s="1060"/>
      <c r="BO79" s="1061"/>
      <c r="BP79" s="1060"/>
      <c r="BQ79" s="1062">
        <f>SUM(BM79:BP79)</f>
        <v>0</v>
      </c>
      <c r="BR79" s="103"/>
      <c r="BS79" s="103"/>
      <c r="BU79" s="1057"/>
      <c r="BV79" s="1056"/>
      <c r="BW79" s="1055"/>
      <c r="BX79" s="1056"/>
      <c r="BY79" s="1055"/>
      <c r="BZ79" s="1054"/>
      <c r="CA79" s="103"/>
      <c r="CB79" s="1052"/>
      <c r="CD79" s="1057"/>
      <c r="CE79" s="1056"/>
      <c r="CF79" s="1055"/>
      <c r="CG79" s="1056"/>
      <c r="CH79" s="1055"/>
      <c r="CI79" s="1054"/>
      <c r="CJ79" s="103"/>
      <c r="CK79" s="1052"/>
    </row>
    <row r="80" spans="2:251" ht="15.5" hidden="1" x14ac:dyDescent="0.35">
      <c r="B80" s="1058" t="s">
        <v>920</v>
      </c>
      <c r="C80" s="1061"/>
      <c r="D80" s="1060"/>
      <c r="E80" s="1061"/>
      <c r="F80" s="1060">
        <v>897</v>
      </c>
      <c r="G80" s="1059">
        <f>SUM(C80:F80)</f>
        <v>897</v>
      </c>
      <c r="H80" s="103"/>
      <c r="I80" s="103"/>
      <c r="K80" s="1058" t="s">
        <v>920</v>
      </c>
      <c r="L80" s="1061"/>
      <c r="M80" s="1060"/>
      <c r="N80" s="1061"/>
      <c r="O80" s="1060">
        <v>897</v>
      </c>
      <c r="P80" s="1059">
        <f>SUM(L80:O80)</f>
        <v>897</v>
      </c>
      <c r="Q80" s="103"/>
      <c r="R80" s="103"/>
      <c r="T80" s="1058" t="s">
        <v>920</v>
      </c>
      <c r="U80" s="1061"/>
      <c r="V80" s="1060"/>
      <c r="W80" s="1061"/>
      <c r="X80" s="1060">
        <v>894</v>
      </c>
      <c r="Y80" s="1059">
        <f>SUM(U80:X80)</f>
        <v>894</v>
      </c>
      <c r="Z80" s="103"/>
      <c r="AA80" s="103"/>
      <c r="AC80" s="1058" t="s">
        <v>920</v>
      </c>
      <c r="AD80" s="1061"/>
      <c r="AE80" s="1060"/>
      <c r="AF80" s="1061"/>
      <c r="AG80" s="1060">
        <v>894</v>
      </c>
      <c r="AH80" s="1059">
        <f>SUM(AD80:AG80)</f>
        <v>894</v>
      </c>
      <c r="AI80" s="103"/>
      <c r="AJ80" s="103"/>
      <c r="AL80" s="1058" t="s">
        <v>920</v>
      </c>
      <c r="AM80" s="1061"/>
      <c r="AN80" s="1060"/>
      <c r="AO80" s="1061"/>
      <c r="AP80" s="1060">
        <v>894</v>
      </c>
      <c r="AQ80" s="1059">
        <f>SUM(AM80:AP80)</f>
        <v>894</v>
      </c>
      <c r="AR80" s="103"/>
      <c r="AS80" s="103"/>
      <c r="AU80" s="1058" t="s">
        <v>920</v>
      </c>
      <c r="AV80" s="1061"/>
      <c r="AW80" s="1060"/>
      <c r="AX80" s="1061"/>
      <c r="AY80" s="1060">
        <v>894</v>
      </c>
      <c r="AZ80" s="1059">
        <f>SUM(AV80:AY80)</f>
        <v>894</v>
      </c>
      <c r="BA80" s="103"/>
      <c r="BB80" s="103"/>
      <c r="BD80" s="1058" t="s">
        <v>920</v>
      </c>
      <c r="BE80" s="1061"/>
      <c r="BF80" s="1060"/>
      <c r="BG80" s="1061"/>
      <c r="BH80" s="1060">
        <v>893</v>
      </c>
      <c r="BI80" s="1059">
        <f>SUM(BE80:BH80)</f>
        <v>893</v>
      </c>
      <c r="BJ80" s="103"/>
      <c r="BK80" s="103"/>
      <c r="BL80" s="1058" t="s">
        <v>920</v>
      </c>
      <c r="BM80" s="1061"/>
      <c r="BN80" s="1060"/>
      <c r="BO80" s="1061"/>
      <c r="BP80" s="1060">
        <v>893</v>
      </c>
      <c r="BQ80" s="1059">
        <f>SUM(BM80:BP80)</f>
        <v>893</v>
      </c>
      <c r="BR80" s="103"/>
      <c r="BS80" s="103"/>
      <c r="BU80" s="1053" t="s">
        <v>447</v>
      </c>
      <c r="BV80" s="1199">
        <f>SUM(BV78:BV78)</f>
        <v>0</v>
      </c>
      <c r="BW80" s="1199">
        <f>SUM(BW78:BW78)</f>
        <v>0</v>
      </c>
      <c r="BX80" s="1199">
        <f>SUM(BX78:BX78)</f>
        <v>0</v>
      </c>
      <c r="BY80" s="1078">
        <f>SUM(BY78:BY78)</f>
        <v>269</v>
      </c>
      <c r="BZ80" s="1078">
        <f>SUM(BZ78:BZ78)</f>
        <v>269</v>
      </c>
      <c r="CA80" s="103"/>
      <c r="CB80" s="1052"/>
      <c r="CD80" s="1053" t="s">
        <v>447</v>
      </c>
      <c r="CE80" s="1199">
        <f>SUM(CE78:CE78)</f>
        <v>0</v>
      </c>
      <c r="CF80" s="1199">
        <f>SUM(CF78:CF78)</f>
        <v>0</v>
      </c>
      <c r="CG80" s="1199">
        <f>SUM(CG78:CG78)</f>
        <v>0</v>
      </c>
      <c r="CH80" s="1078">
        <f>SUM(CH78:CH78)</f>
        <v>114</v>
      </c>
      <c r="CI80" s="1078">
        <f>SUM(CI78:CI78)</f>
        <v>114</v>
      </c>
      <c r="CJ80" s="103"/>
      <c r="CK80" s="1052"/>
    </row>
    <row r="81" spans="2:89" ht="15.5" hidden="1" x14ac:dyDescent="0.35">
      <c r="B81" s="1057"/>
      <c r="C81" s="1056"/>
      <c r="D81" s="1055"/>
      <c r="E81" s="1056"/>
      <c r="F81" s="1055"/>
      <c r="G81" s="1054"/>
      <c r="H81" s="103"/>
      <c r="I81" s="1052"/>
      <c r="K81" s="1057"/>
      <c r="L81" s="1056"/>
      <c r="M81" s="1055"/>
      <c r="N81" s="1056"/>
      <c r="O81" s="1055"/>
      <c r="P81" s="1054"/>
      <c r="Q81" s="103"/>
      <c r="R81" s="1052"/>
      <c r="T81" s="1057"/>
      <c r="U81" s="1056"/>
      <c r="V81" s="1055"/>
      <c r="W81" s="1056"/>
      <c r="X81" s="1055"/>
      <c r="Y81" s="1054"/>
      <c r="Z81" s="103"/>
      <c r="AA81" s="1052"/>
      <c r="AC81" s="1057"/>
      <c r="AD81" s="1056"/>
      <c r="AE81" s="1055"/>
      <c r="AF81" s="1056"/>
      <c r="AG81" s="1055"/>
      <c r="AH81" s="1054"/>
      <c r="AI81" s="103"/>
      <c r="AJ81" s="1052"/>
      <c r="AL81" s="1057"/>
      <c r="AM81" s="1056"/>
      <c r="AN81" s="1055"/>
      <c r="AO81" s="1056"/>
      <c r="AP81" s="1055"/>
      <c r="AQ81" s="1054"/>
      <c r="AR81" s="103"/>
      <c r="AS81" s="1052"/>
      <c r="AU81" s="1057"/>
      <c r="AV81" s="1056"/>
      <c r="AW81" s="1055"/>
      <c r="AX81" s="1056"/>
      <c r="AY81" s="1055"/>
      <c r="AZ81" s="1054"/>
      <c r="BA81" s="103"/>
      <c r="BB81" s="1052"/>
      <c r="BD81" s="1057"/>
      <c r="BE81" s="1056"/>
      <c r="BF81" s="1055"/>
      <c r="BG81" s="1056"/>
      <c r="BH81" s="1055"/>
      <c r="BI81" s="1054"/>
      <c r="BJ81" s="103"/>
      <c r="BK81" s="1052"/>
      <c r="BL81" s="1057"/>
      <c r="BM81" s="1056"/>
      <c r="BN81" s="1055"/>
      <c r="BO81" s="1056"/>
      <c r="BP81" s="1055"/>
      <c r="BQ81" s="1054"/>
      <c r="BR81" s="103"/>
      <c r="BS81" s="1052"/>
      <c r="BU81" s="103"/>
      <c r="BV81" s="103"/>
      <c r="BW81" s="103"/>
      <c r="BX81" s="103"/>
      <c r="BY81" s="103"/>
      <c r="BZ81" s="103"/>
      <c r="CA81" s="103"/>
      <c r="CB81" s="1052"/>
      <c r="CD81" s="103"/>
      <c r="CE81" s="103"/>
      <c r="CF81" s="103"/>
      <c r="CG81" s="103"/>
      <c r="CH81" s="103"/>
      <c r="CI81" s="103"/>
      <c r="CJ81" s="103"/>
      <c r="CK81" s="1052"/>
    </row>
    <row r="82" spans="2:89" ht="15.5" hidden="1" x14ac:dyDescent="0.35">
      <c r="B82" s="1053" t="s">
        <v>447</v>
      </c>
      <c r="C82" s="1078">
        <f>SUM(C78:C80)</f>
        <v>5180</v>
      </c>
      <c r="D82" s="1078">
        <f>SUM(D78:D80)</f>
        <v>0</v>
      </c>
      <c r="E82" s="1078">
        <f>SUM(E78:E80)</f>
        <v>289</v>
      </c>
      <c r="F82" s="1078">
        <f>SUM(F78:F80)</f>
        <v>897</v>
      </c>
      <c r="G82" s="1078">
        <f>SUM(G78:G80)</f>
        <v>6366</v>
      </c>
      <c r="H82" s="103"/>
      <c r="I82" s="1052"/>
      <c r="K82" s="1053" t="s">
        <v>447</v>
      </c>
      <c r="L82" s="1078">
        <f>SUM(L78:L80)</f>
        <v>2752</v>
      </c>
      <c r="M82" s="1078">
        <f>SUM(M78:M80)</f>
        <v>0</v>
      </c>
      <c r="N82" s="1078">
        <f>SUM(N78:N80)</f>
        <v>78</v>
      </c>
      <c r="O82" s="1078">
        <f>SUM(O78:O80)</f>
        <v>897</v>
      </c>
      <c r="P82" s="1078">
        <f>SUM(P78:P80)</f>
        <v>3727</v>
      </c>
      <c r="Q82" s="103"/>
      <c r="R82" s="1052"/>
      <c r="T82" s="1053" t="s">
        <v>447</v>
      </c>
      <c r="U82" s="1078">
        <f>SUM(U78:U80)</f>
        <v>127</v>
      </c>
      <c r="V82" s="1078">
        <f>SUM(V78:V80)</f>
        <v>0</v>
      </c>
      <c r="W82" s="1078">
        <f>SUM(W78:W80)</f>
        <v>0</v>
      </c>
      <c r="X82" s="1078">
        <f>SUM(X78:X80)</f>
        <v>894</v>
      </c>
      <c r="Y82" s="1078">
        <f>SUM(Y78:Y80)</f>
        <v>1021</v>
      </c>
      <c r="Z82" s="103"/>
      <c r="AA82" s="1052"/>
      <c r="AC82" s="1053" t="s">
        <v>447</v>
      </c>
      <c r="AD82" s="1078">
        <f>SUM(AD78:AD80)</f>
        <v>0</v>
      </c>
      <c r="AE82" s="1078">
        <f>SUM(AE78:AE80)</f>
        <v>0</v>
      </c>
      <c r="AF82" s="1078">
        <f>SUM(AF78:AF80)</f>
        <v>0</v>
      </c>
      <c r="AG82" s="1078">
        <f>SUM(AG78:AG80)</f>
        <v>894</v>
      </c>
      <c r="AH82" s="1078">
        <f>SUM(AH78:AH80)</f>
        <v>894</v>
      </c>
      <c r="AI82" s="103"/>
      <c r="AJ82" s="1052"/>
      <c r="AL82" s="1053" t="s">
        <v>447</v>
      </c>
      <c r="AM82" s="1199">
        <f>SUM(AM78:AM80)</f>
        <v>0</v>
      </c>
      <c r="AN82" s="1199">
        <f>SUM(AN78:AN80)</f>
        <v>0</v>
      </c>
      <c r="AO82" s="1199">
        <f>SUM(AO78:AO80)</f>
        <v>0</v>
      </c>
      <c r="AP82" s="1078">
        <f>SUM(AP78:AP80)</f>
        <v>894</v>
      </c>
      <c r="AQ82" s="1078">
        <f>SUM(AQ78:AQ80)</f>
        <v>894</v>
      </c>
      <c r="AR82" s="103"/>
      <c r="AS82" s="1052"/>
      <c r="AU82" s="1053" t="s">
        <v>447</v>
      </c>
      <c r="AV82" s="1078">
        <f>SUM(AV78:AV80)</f>
        <v>0</v>
      </c>
      <c r="AW82" s="1078">
        <f>SUM(AW78:AW80)</f>
        <v>0</v>
      </c>
      <c r="AX82" s="1078">
        <f>SUM(AX78:AX80)</f>
        <v>0</v>
      </c>
      <c r="AY82" s="1078">
        <f>SUM(AY78:AY80)</f>
        <v>894</v>
      </c>
      <c r="AZ82" s="1078">
        <f>SUM(AZ78:AZ80)</f>
        <v>894</v>
      </c>
      <c r="BA82" s="103"/>
      <c r="BB82" s="1052"/>
      <c r="BD82" s="1053" t="s">
        <v>447</v>
      </c>
      <c r="BE82" s="1199">
        <f>SUM(BE78:BE80)</f>
        <v>0</v>
      </c>
      <c r="BF82" s="1199">
        <f>SUM(BF78:BF80)</f>
        <v>0</v>
      </c>
      <c r="BG82" s="1199">
        <f>SUM(BG78:BG80)</f>
        <v>0</v>
      </c>
      <c r="BH82" s="1078">
        <f>SUM(BH78:BH80)</f>
        <v>893</v>
      </c>
      <c r="BI82" s="1078">
        <f>SUM(BI78:BI80)</f>
        <v>893</v>
      </c>
      <c r="BJ82" s="103"/>
      <c r="BK82" s="1052"/>
      <c r="BL82" s="1053" t="s">
        <v>447</v>
      </c>
      <c r="BM82" s="1199">
        <f>SUM(BM78:BM80)</f>
        <v>0</v>
      </c>
      <c r="BN82" s="1199">
        <f>SUM(BN78:BN80)</f>
        <v>0</v>
      </c>
      <c r="BO82" s="1199">
        <f>SUM(BO78:BO80)</f>
        <v>0</v>
      </c>
      <c r="BP82" s="1078">
        <f>SUM(BP78:BP80)</f>
        <v>893</v>
      </c>
      <c r="BQ82" s="1078">
        <f>SUM(BQ78:BQ80)</f>
        <v>893</v>
      </c>
      <c r="BR82" s="103"/>
      <c r="BS82" s="1052"/>
      <c r="BU82" s="1049" t="s">
        <v>919</v>
      </c>
      <c r="BV82" s="103"/>
      <c r="BW82" s="103"/>
      <c r="BX82" s="103"/>
      <c r="BY82" s="103"/>
      <c r="BZ82" s="103"/>
      <c r="CA82" s="103"/>
      <c r="CB82" s="1051"/>
      <c r="CD82" s="1049" t="s">
        <v>918</v>
      </c>
      <c r="CE82" s="103"/>
      <c r="CF82" s="103"/>
      <c r="CG82" s="103"/>
      <c r="CH82" s="103"/>
      <c r="CI82" s="103"/>
      <c r="CJ82" s="103"/>
      <c r="CK82" s="1051"/>
    </row>
    <row r="83" spans="2:89" ht="15.5" hidden="1" x14ac:dyDescent="0.35">
      <c r="B83" s="103"/>
      <c r="C83" s="103"/>
      <c r="D83" s="103"/>
      <c r="E83" s="103"/>
      <c r="F83" s="103"/>
      <c r="G83" s="103"/>
      <c r="H83" s="103"/>
      <c r="I83" s="1052"/>
      <c r="K83" s="103"/>
      <c r="L83" s="103"/>
      <c r="M83" s="103"/>
      <c r="N83" s="103"/>
      <c r="O83" s="103"/>
      <c r="P83" s="103"/>
      <c r="Q83" s="103"/>
      <c r="R83" s="1052"/>
      <c r="T83" s="103"/>
      <c r="U83" s="103"/>
      <c r="V83" s="103"/>
      <c r="W83" s="103"/>
      <c r="X83" s="103"/>
      <c r="Y83" s="103"/>
      <c r="Z83" s="103"/>
      <c r="AA83" s="1052"/>
      <c r="AC83" s="103"/>
      <c r="AD83" s="103"/>
      <c r="AE83" s="103"/>
      <c r="AF83" s="103"/>
      <c r="AG83" s="103"/>
      <c r="AH83" s="103"/>
      <c r="AI83" s="103"/>
      <c r="AJ83" s="1052"/>
      <c r="AL83" s="103"/>
      <c r="AM83" s="103"/>
      <c r="AN83" s="103"/>
      <c r="AO83" s="103"/>
      <c r="AP83" s="103"/>
      <c r="AQ83" s="103"/>
      <c r="AR83" s="103"/>
      <c r="AS83" s="1052"/>
      <c r="AU83" s="103"/>
      <c r="AV83" s="103"/>
      <c r="AW83" s="103"/>
      <c r="AX83" s="103"/>
      <c r="AY83" s="103"/>
      <c r="AZ83" s="103"/>
      <c r="BA83" s="103"/>
      <c r="BB83" s="1052"/>
      <c r="BD83" s="103"/>
      <c r="BE83" s="103"/>
      <c r="BF83" s="103"/>
      <c r="BG83" s="103"/>
      <c r="BH83" s="103"/>
      <c r="BI83" s="103"/>
      <c r="BJ83" s="103"/>
      <c r="BK83" s="1052"/>
      <c r="BL83" s="103"/>
      <c r="BM83" s="103"/>
      <c r="BN83" s="103"/>
      <c r="BO83" s="103"/>
      <c r="BP83" s="103"/>
      <c r="BQ83" s="103"/>
      <c r="BR83" s="103"/>
      <c r="BS83" s="1052"/>
      <c r="BU83" s="1049" t="s">
        <v>908</v>
      </c>
      <c r="BV83" s="103"/>
      <c r="BW83" s="103"/>
      <c r="BX83" s="103"/>
      <c r="BY83" s="103"/>
      <c r="BZ83" s="103"/>
      <c r="CA83" s="103"/>
      <c r="CB83" s="103"/>
      <c r="CD83" s="1049" t="s">
        <v>908</v>
      </c>
      <c r="CE83" s="103"/>
      <c r="CF83" s="103"/>
      <c r="CG83" s="103"/>
      <c r="CH83" s="103"/>
      <c r="CI83" s="103"/>
      <c r="CJ83" s="103"/>
      <c r="CK83" s="103"/>
    </row>
    <row r="84" spans="2:89" ht="15.5" hidden="1" x14ac:dyDescent="0.35">
      <c r="B84" s="1049" t="s">
        <v>917</v>
      </c>
      <c r="C84" s="103"/>
      <c r="D84" s="103"/>
      <c r="E84" s="103"/>
      <c r="F84" s="103"/>
      <c r="G84" s="103"/>
      <c r="H84" s="103"/>
      <c r="I84" s="1051"/>
      <c r="K84" s="1049" t="s">
        <v>916</v>
      </c>
      <c r="L84" s="103"/>
      <c r="M84" s="103"/>
      <c r="N84" s="103"/>
      <c r="O84" s="103"/>
      <c r="P84" s="103"/>
      <c r="Q84" s="103"/>
      <c r="R84" s="1051"/>
      <c r="T84" s="1049" t="s">
        <v>915</v>
      </c>
      <c r="U84" s="103"/>
      <c r="V84" s="103"/>
      <c r="W84" s="103"/>
      <c r="X84" s="103"/>
      <c r="Y84" s="103"/>
      <c r="Z84" s="103"/>
      <c r="AA84" s="1051"/>
      <c r="AC84" s="1049" t="s">
        <v>915</v>
      </c>
      <c r="AD84" s="103"/>
      <c r="AE84" s="103"/>
      <c r="AF84" s="103"/>
      <c r="AG84" s="103"/>
      <c r="AH84" s="103"/>
      <c r="AI84" s="103"/>
      <c r="AJ84" s="1051"/>
      <c r="AL84" s="1049" t="s">
        <v>914</v>
      </c>
      <c r="AM84" s="103"/>
      <c r="AN84" s="103"/>
      <c r="AO84" s="103"/>
      <c r="AP84" s="103"/>
      <c r="AQ84" s="103"/>
      <c r="AR84" s="103"/>
      <c r="AS84" s="1051"/>
      <c r="AU84" s="1049" t="s">
        <v>913</v>
      </c>
      <c r="AV84" s="103"/>
      <c r="AW84" s="103"/>
      <c r="AX84" s="103"/>
      <c r="AY84" s="103"/>
      <c r="AZ84" s="103"/>
      <c r="BA84" s="103"/>
      <c r="BB84" s="1051"/>
      <c r="BD84" s="1049" t="s">
        <v>912</v>
      </c>
      <c r="BE84" s="103"/>
      <c r="BF84" s="103"/>
      <c r="BG84" s="103"/>
      <c r="BH84" s="103"/>
      <c r="BI84" s="103"/>
      <c r="BJ84" s="103"/>
      <c r="BK84" s="1051"/>
      <c r="BL84" s="1049" t="s">
        <v>911</v>
      </c>
      <c r="BM84" s="103"/>
      <c r="BN84" s="103"/>
      <c r="BO84" s="103"/>
      <c r="BP84" s="103"/>
      <c r="BQ84" s="103"/>
      <c r="BR84" s="103"/>
      <c r="BS84" s="1051"/>
      <c r="BU84" s="1050" t="s">
        <v>910</v>
      </c>
      <c r="BV84" s="103"/>
      <c r="BW84" s="103"/>
      <c r="BX84" s="103"/>
      <c r="BY84" s="103"/>
      <c r="BZ84" s="103"/>
      <c r="CA84" s="103"/>
      <c r="CB84" s="103"/>
      <c r="CD84" s="1050" t="s">
        <v>909</v>
      </c>
      <c r="CE84" s="103"/>
      <c r="CF84" s="103"/>
      <c r="CG84" s="103"/>
      <c r="CH84" s="103"/>
      <c r="CI84" s="103"/>
      <c r="CJ84" s="103"/>
      <c r="CK84" s="103"/>
    </row>
    <row r="85" spans="2:89" ht="15.5" hidden="1" x14ac:dyDescent="0.35">
      <c r="K85" s="103"/>
      <c r="L85" s="103"/>
      <c r="M85" s="103"/>
      <c r="N85" s="103"/>
      <c r="O85" s="103"/>
      <c r="P85" s="103"/>
      <c r="Q85" s="103"/>
      <c r="R85" s="103"/>
      <c r="BD85" s="1049" t="s">
        <v>908</v>
      </c>
      <c r="BE85" s="103"/>
      <c r="BF85" s="103"/>
      <c r="BG85" s="103"/>
      <c r="BH85" s="103"/>
      <c r="BI85" s="103"/>
      <c r="BJ85" s="103"/>
      <c r="BK85" s="103"/>
      <c r="BL85" s="1049" t="s">
        <v>908</v>
      </c>
      <c r="BM85" s="103"/>
      <c r="BN85" s="103"/>
      <c r="BO85" s="103"/>
      <c r="BP85" s="103"/>
      <c r="BQ85" s="103"/>
      <c r="BR85" s="103"/>
      <c r="BS85" s="103"/>
    </row>
    <row r="86" spans="2:89" s="1191" customFormat="1" ht="15" hidden="1" thickBot="1" x14ac:dyDescent="0.4">
      <c r="K86" s="1048"/>
      <c r="L86" s="1048"/>
      <c r="M86" s="1048"/>
      <c r="N86" s="1048"/>
      <c r="O86" s="1048"/>
      <c r="P86" s="1048"/>
      <c r="Q86" s="1048"/>
      <c r="R86" s="1048"/>
    </row>
    <row r="87" spans="2:89" ht="14.5" hidden="1" x14ac:dyDescent="0.35">
      <c r="K87" s="103"/>
      <c r="L87" s="103"/>
      <c r="M87" s="103"/>
      <c r="N87" s="103"/>
      <c r="O87" s="103"/>
      <c r="P87" s="103"/>
      <c r="Q87" s="103"/>
      <c r="R87" s="103"/>
    </row>
    <row r="88" spans="2:89" ht="14.5" hidden="1" x14ac:dyDescent="0.35">
      <c r="K88" s="103"/>
      <c r="L88" s="103"/>
      <c r="M88" s="103"/>
      <c r="N88" s="103"/>
      <c r="O88" s="103"/>
      <c r="P88" s="103"/>
      <c r="Q88" s="103"/>
      <c r="R88" s="103"/>
    </row>
    <row r="89" spans="2:89" ht="15" x14ac:dyDescent="0.3">
      <c r="B89" s="1269" t="s">
        <v>473</v>
      </c>
      <c r="C89" s="1269"/>
      <c r="D89" s="1269"/>
      <c r="E89" s="1269"/>
      <c r="F89" s="1269"/>
      <c r="G89" s="1269"/>
      <c r="H89" s="1269"/>
      <c r="I89" s="1269"/>
      <c r="K89" s="1269" t="s">
        <v>473</v>
      </c>
      <c r="L89" s="1269"/>
      <c r="M89" s="1269"/>
      <c r="N89" s="1269"/>
      <c r="O89" s="1269"/>
      <c r="P89" s="1269"/>
      <c r="Q89" s="1269"/>
      <c r="R89" s="1269"/>
      <c r="T89" s="1269" t="s">
        <v>473</v>
      </c>
      <c r="U89" s="1269"/>
      <c r="V89" s="1269"/>
      <c r="W89" s="1269"/>
      <c r="X89" s="1269"/>
      <c r="Y89" s="1269"/>
      <c r="Z89" s="1269"/>
      <c r="AA89" s="1269"/>
      <c r="AC89" s="1269" t="s">
        <v>473</v>
      </c>
      <c r="AD89" s="1269"/>
      <c r="AE89" s="1269"/>
      <c r="AF89" s="1269"/>
      <c r="AG89" s="1269"/>
      <c r="AH89" s="1269"/>
      <c r="AI89" s="1269"/>
      <c r="AJ89" s="1269"/>
      <c r="AL89" s="1269" t="s">
        <v>473</v>
      </c>
      <c r="AM89" s="1269"/>
      <c r="AN89" s="1269"/>
      <c r="AO89" s="1269"/>
      <c r="AP89" s="1269"/>
      <c r="AQ89" s="1269"/>
      <c r="AR89" s="1269"/>
      <c r="AS89" s="1269"/>
      <c r="AU89" s="1278" t="s">
        <v>473</v>
      </c>
      <c r="AV89" s="1278"/>
      <c r="AW89" s="1278"/>
      <c r="AX89" s="1278"/>
      <c r="AY89" s="1278"/>
      <c r="AZ89" s="1278"/>
      <c r="BA89" s="1278"/>
      <c r="BB89" s="1278"/>
      <c r="BD89" s="1269" t="s">
        <v>473</v>
      </c>
      <c r="BE89" s="1269"/>
      <c r="BF89" s="1269"/>
      <c r="BG89" s="1269"/>
      <c r="BH89" s="1269"/>
      <c r="BI89" s="1269"/>
      <c r="BJ89" s="1269"/>
      <c r="BK89" s="1269"/>
    </row>
    <row r="90" spans="2:89" ht="15" x14ac:dyDescent="0.3">
      <c r="B90" s="1269" t="s">
        <v>874</v>
      </c>
      <c r="C90" s="1269"/>
      <c r="D90" s="1269"/>
      <c r="E90" s="1269"/>
      <c r="F90" s="1269"/>
      <c r="G90" s="1269"/>
      <c r="H90" s="1269"/>
      <c r="I90" s="1269"/>
      <c r="K90" s="1269" t="s">
        <v>873</v>
      </c>
      <c r="L90" s="1269"/>
      <c r="M90" s="1269"/>
      <c r="N90" s="1269"/>
      <c r="O90" s="1269"/>
      <c r="P90" s="1269"/>
      <c r="Q90" s="1269"/>
      <c r="R90" s="1269"/>
      <c r="T90" s="1269" t="s">
        <v>872</v>
      </c>
      <c r="U90" s="1269"/>
      <c r="V90" s="1269"/>
      <c r="W90" s="1269"/>
      <c r="X90" s="1269"/>
      <c r="Y90" s="1269"/>
      <c r="Z90" s="1269"/>
      <c r="AA90" s="1269"/>
      <c r="AC90" s="1269" t="s">
        <v>871</v>
      </c>
      <c r="AD90" s="1269"/>
      <c r="AE90" s="1269"/>
      <c r="AF90" s="1269"/>
      <c r="AG90" s="1269"/>
      <c r="AH90" s="1269"/>
      <c r="AI90" s="1269"/>
      <c r="AJ90" s="1269"/>
      <c r="AL90" s="1269" t="s">
        <v>870</v>
      </c>
      <c r="AM90" s="1269"/>
      <c r="AN90" s="1269"/>
      <c r="AO90" s="1269"/>
      <c r="AP90" s="1269"/>
      <c r="AQ90" s="1269"/>
      <c r="AR90" s="1269"/>
      <c r="AS90" s="1269"/>
      <c r="AU90" s="1278" t="s">
        <v>811</v>
      </c>
      <c r="AV90" s="1278"/>
      <c r="AW90" s="1278"/>
      <c r="AX90" s="1278"/>
      <c r="AY90" s="1278"/>
      <c r="AZ90" s="1278"/>
      <c r="BA90" s="1278"/>
      <c r="BB90" s="1278"/>
      <c r="BD90" s="1269" t="s">
        <v>907</v>
      </c>
      <c r="BE90" s="1269"/>
      <c r="BF90" s="1269"/>
      <c r="BG90" s="1269"/>
      <c r="BH90" s="1269"/>
      <c r="BI90" s="1269"/>
      <c r="BJ90" s="1269"/>
      <c r="BK90" s="1269"/>
    </row>
    <row r="91" spans="2:89" ht="15.5" x14ac:dyDescent="0.35">
      <c r="B91" s="1038"/>
      <c r="C91" s="1038"/>
      <c r="D91" s="1038"/>
      <c r="E91" s="1038"/>
      <c r="F91" s="1038"/>
      <c r="G91" s="1005"/>
      <c r="H91" s="1005"/>
      <c r="I91" s="992"/>
      <c r="K91" s="1038"/>
      <c r="L91" s="1038"/>
      <c r="M91" s="1038"/>
      <c r="N91" s="1038"/>
      <c r="O91" s="1038"/>
      <c r="P91" s="1005"/>
      <c r="Q91" s="1005"/>
      <c r="R91" s="997"/>
      <c r="T91" s="1038"/>
      <c r="U91" s="1038"/>
      <c r="V91" s="1038"/>
      <c r="W91" s="1038"/>
      <c r="X91" s="1038"/>
      <c r="Y91" s="1005"/>
      <c r="Z91" s="1005"/>
      <c r="AA91" s="995"/>
      <c r="AC91" s="1038"/>
      <c r="AD91" s="1038"/>
      <c r="AE91" s="1038"/>
      <c r="AF91" s="1038"/>
      <c r="AG91" s="1038"/>
      <c r="AH91" s="1005"/>
      <c r="AI91" s="1005"/>
      <c r="AJ91" s="992"/>
      <c r="AL91" s="1038"/>
      <c r="AM91" s="1038"/>
      <c r="AN91" s="1038"/>
      <c r="AO91" s="1038"/>
      <c r="AP91" s="1038"/>
      <c r="AQ91" s="1005"/>
      <c r="AR91" s="1005"/>
      <c r="AS91" s="995"/>
      <c r="AU91" s="971"/>
      <c r="AV91" s="971"/>
      <c r="AW91" s="971"/>
      <c r="AX91" s="971"/>
      <c r="AY91" s="971"/>
      <c r="AZ91" s="962"/>
      <c r="BA91" s="962"/>
      <c r="BB91" s="961"/>
      <c r="BD91" s="1038"/>
      <c r="BE91" s="1038"/>
      <c r="BF91" s="1038"/>
      <c r="BG91" s="1038"/>
      <c r="BH91" s="1038"/>
      <c r="BI91" s="1005"/>
      <c r="BJ91" s="1005"/>
      <c r="BK91" s="992"/>
    </row>
    <row r="92" spans="2:89" ht="60" x14ac:dyDescent="0.3">
      <c r="B92" s="1011" t="s">
        <v>472</v>
      </c>
      <c r="C92" s="1033" t="s">
        <v>471</v>
      </c>
      <c r="D92" s="1032" t="s">
        <v>373</v>
      </c>
      <c r="E92" s="1031" t="s">
        <v>866</v>
      </c>
      <c r="F92" s="1031" t="s">
        <v>469</v>
      </c>
      <c r="G92" s="1031" t="s">
        <v>468</v>
      </c>
      <c r="H92" s="1031" t="s">
        <v>467</v>
      </c>
      <c r="I92" s="1011" t="s">
        <v>447</v>
      </c>
      <c r="K92" s="1011" t="s">
        <v>472</v>
      </c>
      <c r="L92" s="1033" t="s">
        <v>471</v>
      </c>
      <c r="M92" s="1032" t="s">
        <v>373</v>
      </c>
      <c r="N92" s="1031" t="s">
        <v>865</v>
      </c>
      <c r="O92" s="1031" t="s">
        <v>864</v>
      </c>
      <c r="P92" s="1031" t="s">
        <v>468</v>
      </c>
      <c r="Q92" s="1031" t="s">
        <v>467</v>
      </c>
      <c r="R92" s="1011" t="s">
        <v>447</v>
      </c>
      <c r="T92" s="1011" t="s">
        <v>472</v>
      </c>
      <c r="U92" s="1033" t="s">
        <v>471</v>
      </c>
      <c r="V92" s="1032" t="s">
        <v>373</v>
      </c>
      <c r="W92" s="1031" t="s">
        <v>470</v>
      </c>
      <c r="X92" s="1031" t="s">
        <v>864</v>
      </c>
      <c r="Y92" s="1031" t="s">
        <v>468</v>
      </c>
      <c r="Z92" s="1031" t="s">
        <v>467</v>
      </c>
      <c r="AA92" s="1011" t="s">
        <v>447</v>
      </c>
      <c r="AC92" s="1011" t="s">
        <v>472</v>
      </c>
      <c r="AD92" s="1033" t="s">
        <v>471</v>
      </c>
      <c r="AE92" s="1032" t="s">
        <v>373</v>
      </c>
      <c r="AF92" s="1031" t="s">
        <v>470</v>
      </c>
      <c r="AG92" s="1031" t="s">
        <v>469</v>
      </c>
      <c r="AH92" s="1031" t="s">
        <v>468</v>
      </c>
      <c r="AI92" s="1031" t="s">
        <v>467</v>
      </c>
      <c r="AJ92" s="1011" t="s">
        <v>447</v>
      </c>
      <c r="AL92" s="1011" t="s">
        <v>472</v>
      </c>
      <c r="AM92" s="1033" t="s">
        <v>471</v>
      </c>
      <c r="AN92" s="1032" t="s">
        <v>373</v>
      </c>
      <c r="AO92" s="1031" t="s">
        <v>470</v>
      </c>
      <c r="AP92" s="1031" t="s">
        <v>469</v>
      </c>
      <c r="AQ92" s="1031" t="s">
        <v>468</v>
      </c>
      <c r="AR92" s="1031" t="s">
        <v>467</v>
      </c>
      <c r="AS92" s="1011" t="s">
        <v>447</v>
      </c>
      <c r="AU92" s="967" t="s">
        <v>472</v>
      </c>
      <c r="AV92" s="970" t="s">
        <v>471</v>
      </c>
      <c r="AW92" s="969" t="s">
        <v>373</v>
      </c>
      <c r="AX92" s="968" t="s">
        <v>470</v>
      </c>
      <c r="AY92" s="968" t="s">
        <v>469</v>
      </c>
      <c r="AZ92" s="968" t="s">
        <v>468</v>
      </c>
      <c r="BA92" s="968" t="s">
        <v>467</v>
      </c>
      <c r="BB92" s="967" t="s">
        <v>447</v>
      </c>
      <c r="BD92" s="1011" t="s">
        <v>472</v>
      </c>
      <c r="BE92" s="1033" t="s">
        <v>471</v>
      </c>
      <c r="BF92" s="1032" t="s">
        <v>373</v>
      </c>
      <c r="BG92" s="1031" t="s">
        <v>470</v>
      </c>
      <c r="BH92" s="1031" t="s">
        <v>469</v>
      </c>
      <c r="BI92" s="1031" t="s">
        <v>468</v>
      </c>
      <c r="BJ92" s="1031" t="s">
        <v>467</v>
      </c>
      <c r="BK92" s="1011" t="s">
        <v>447</v>
      </c>
    </row>
    <row r="93" spans="2:89" ht="15.5" x14ac:dyDescent="0.35">
      <c r="B93" s="1029"/>
      <c r="C93" s="965"/>
      <c r="D93" s="1019"/>
      <c r="E93" s="965"/>
      <c r="F93" s="965"/>
      <c r="G93" s="1028"/>
      <c r="H93" s="1019"/>
      <c r="I93" s="1027"/>
      <c r="K93" s="1019" t="s">
        <v>859</v>
      </c>
      <c r="L93" s="966"/>
      <c r="M93" s="1020">
        <f>47126-29</f>
        <v>47097</v>
      </c>
      <c r="N93" s="1016">
        <f>14300-14</f>
        <v>14286</v>
      </c>
      <c r="O93" s="1024">
        <f>17100</f>
        <v>17100</v>
      </c>
      <c r="P93" s="1016">
        <f>6083-2182</f>
        <v>3901</v>
      </c>
      <c r="Q93" s="1016"/>
      <c r="R93" s="1015">
        <f t="shared" ref="R93:R113" si="109">SUM(L93:Q93)</f>
        <v>82384</v>
      </c>
      <c r="T93" s="1019" t="s">
        <v>859</v>
      </c>
      <c r="U93" s="966"/>
      <c r="V93" s="1020">
        <v>28276</v>
      </c>
      <c r="W93" s="1016">
        <v>2800</v>
      </c>
      <c r="X93" s="1022">
        <f>15500</f>
        <v>15500</v>
      </c>
      <c r="Y93" s="1016">
        <f>6083-2182-1400</f>
        <v>2501</v>
      </c>
      <c r="Z93" s="1016"/>
      <c r="AA93" s="1015">
        <f t="shared" ref="AA93:AA113" si="110">SUM(U93:Z93)</f>
        <v>49077</v>
      </c>
      <c r="AC93" s="1029"/>
      <c r="AD93" s="965"/>
      <c r="AE93" s="1019"/>
      <c r="AF93" s="965"/>
      <c r="AG93" s="965"/>
      <c r="AH93" s="1028"/>
      <c r="AI93" s="1019"/>
      <c r="AJ93" s="1027"/>
      <c r="AL93" s="1029"/>
      <c r="AM93" s="965"/>
      <c r="AN93" s="1019"/>
      <c r="AO93" s="965"/>
      <c r="AP93" s="965"/>
      <c r="AQ93" s="1028"/>
      <c r="AR93" s="1019"/>
      <c r="AS93" s="1027"/>
      <c r="AU93" s="1019" t="s">
        <v>466</v>
      </c>
      <c r="AV93" s="1018"/>
      <c r="AW93" s="1203">
        <v>59316</v>
      </c>
      <c r="AX93" s="1204">
        <f>6900-20</f>
        <v>6880</v>
      </c>
      <c r="AY93" s="1204">
        <f>18950-5</f>
        <v>18945</v>
      </c>
      <c r="AZ93" s="1204">
        <v>3000</v>
      </c>
      <c r="BA93" s="1204"/>
      <c r="BB93" s="1017">
        <f t="shared" ref="BB93:BB113" si="111">SUM(AV93:BA93)</f>
        <v>88141</v>
      </c>
      <c r="BD93" s="1019" t="s">
        <v>858</v>
      </c>
      <c r="BE93" s="966"/>
      <c r="BF93" s="1206">
        <v>30131</v>
      </c>
      <c r="BG93" s="1206">
        <v>4434</v>
      </c>
      <c r="BH93" s="1206">
        <v>7720</v>
      </c>
      <c r="BI93" s="1206">
        <v>1500</v>
      </c>
      <c r="BJ93" s="1207"/>
      <c r="BK93" s="1208">
        <v>43785</v>
      </c>
    </row>
    <row r="94" spans="2:89" ht="15.5" x14ac:dyDescent="0.35">
      <c r="B94" s="1019" t="s">
        <v>859</v>
      </c>
      <c r="C94" s="966"/>
      <c r="D94" s="1020">
        <v>57309</v>
      </c>
      <c r="E94" s="1016">
        <f>19418-17</f>
        <v>19401</v>
      </c>
      <c r="F94" s="1016">
        <f>27100-1</f>
        <v>27099</v>
      </c>
      <c r="G94" s="1016">
        <f>6083-2182</f>
        <v>3901</v>
      </c>
      <c r="H94" s="1016"/>
      <c r="I94" s="1015">
        <f t="shared" ref="I94:I113" si="112">SUM(C94:H94)</f>
        <v>107710</v>
      </c>
      <c r="K94" s="1019" t="s">
        <v>858</v>
      </c>
      <c r="L94" s="966"/>
      <c r="M94" s="1020">
        <f>31550-6</f>
        <v>31544</v>
      </c>
      <c r="N94" s="1016">
        <f>18600-41</f>
        <v>18559</v>
      </c>
      <c r="O94" s="1024">
        <f>22950-5</f>
        <v>22945</v>
      </c>
      <c r="P94" s="1016">
        <f>9041</f>
        <v>9041</v>
      </c>
      <c r="Q94" s="1016">
        <v>621</v>
      </c>
      <c r="R94" s="1015">
        <f t="shared" si="109"/>
        <v>82710</v>
      </c>
      <c r="T94" s="1019" t="s">
        <v>858</v>
      </c>
      <c r="U94" s="966"/>
      <c r="V94" s="1020">
        <v>65154</v>
      </c>
      <c r="W94" s="1016">
        <f>18600-41</f>
        <v>18559</v>
      </c>
      <c r="X94" s="1022">
        <f>22950-5</f>
        <v>22945</v>
      </c>
      <c r="Y94" s="1016">
        <f>9041</f>
        <v>9041</v>
      </c>
      <c r="Z94" s="1016">
        <v>621</v>
      </c>
      <c r="AA94" s="1015">
        <f t="shared" si="110"/>
        <v>116320</v>
      </c>
      <c r="AC94" s="1019" t="s">
        <v>858</v>
      </c>
      <c r="AD94" s="966"/>
      <c r="AE94" s="1020">
        <v>96834</v>
      </c>
      <c r="AF94" s="1016">
        <f>18600-40</f>
        <v>18560</v>
      </c>
      <c r="AG94" s="1023">
        <f>22950-5</f>
        <v>22945</v>
      </c>
      <c r="AH94" s="1016">
        <f>9041</f>
        <v>9041</v>
      </c>
      <c r="AI94" s="1016">
        <v>621</v>
      </c>
      <c r="AJ94" s="1015">
        <f t="shared" ref="AJ94:AJ113" si="113">SUM(AD94:AI94)</f>
        <v>148001</v>
      </c>
      <c r="AL94" s="1019" t="s">
        <v>858</v>
      </c>
      <c r="AM94" s="966"/>
      <c r="AN94" s="1020">
        <f>79388-32-96</f>
        <v>79260</v>
      </c>
      <c r="AO94" s="1016">
        <f>12800-23</f>
        <v>12777</v>
      </c>
      <c r="AP94" s="1022">
        <f>22950-5</f>
        <v>22945</v>
      </c>
      <c r="AQ94" s="1016">
        <f>3000</f>
        <v>3000</v>
      </c>
      <c r="AR94" s="1016">
        <v>621</v>
      </c>
      <c r="AS94" s="1015">
        <f t="shared" ref="AS94:AS113" si="114">SUM(AM94:AR94)</f>
        <v>118603</v>
      </c>
      <c r="AU94" s="1019" t="s">
        <v>465</v>
      </c>
      <c r="AV94" s="1018"/>
      <c r="AW94" s="1203">
        <v>36460</v>
      </c>
      <c r="AX94" s="1204">
        <f>26820-60</f>
        <v>26760</v>
      </c>
      <c r="AY94" s="1204">
        <f>19150-3</f>
        <v>19147</v>
      </c>
      <c r="AZ94" s="1204">
        <f>7293-65</f>
        <v>7228</v>
      </c>
      <c r="BA94" s="1203">
        <f>1000</f>
        <v>1000</v>
      </c>
      <c r="BB94" s="1017">
        <f t="shared" si="111"/>
        <v>90595</v>
      </c>
      <c r="BD94" s="1019" t="s">
        <v>466</v>
      </c>
      <c r="BE94" s="966"/>
      <c r="BF94" s="1206">
        <v>64927</v>
      </c>
      <c r="BG94" s="1206">
        <v>26767</v>
      </c>
      <c r="BH94" s="1206">
        <v>19147</v>
      </c>
      <c r="BI94" s="1206">
        <v>7228</v>
      </c>
      <c r="BJ94" s="1206">
        <v>1000</v>
      </c>
      <c r="BK94" s="1208">
        <v>119069</v>
      </c>
    </row>
    <row r="95" spans="2:89" ht="15.5" x14ac:dyDescent="0.35">
      <c r="B95" s="1019" t="s">
        <v>858</v>
      </c>
      <c r="C95" s="966"/>
      <c r="D95" s="1020">
        <v>11073</v>
      </c>
      <c r="E95" s="1016">
        <f>18600-41</f>
        <v>18559</v>
      </c>
      <c r="F95" s="1016">
        <f>22950-5</f>
        <v>22945</v>
      </c>
      <c r="G95" s="1016">
        <f>9041</f>
        <v>9041</v>
      </c>
      <c r="H95" s="1016">
        <v>621</v>
      </c>
      <c r="I95" s="1015">
        <f t="shared" si="112"/>
        <v>62239</v>
      </c>
      <c r="K95" s="1019" t="s">
        <v>466</v>
      </c>
      <c r="L95" s="966"/>
      <c r="M95" s="1020"/>
      <c r="N95" s="1016">
        <f>26820-60</f>
        <v>26760</v>
      </c>
      <c r="O95" s="1024">
        <f>19150-3</f>
        <v>19147</v>
      </c>
      <c r="P95" s="1016">
        <f>7293-65-3</f>
        <v>7225</v>
      </c>
      <c r="Q95" s="1020">
        <f>1000</f>
        <v>1000</v>
      </c>
      <c r="R95" s="1015">
        <f t="shared" si="109"/>
        <v>54132</v>
      </c>
      <c r="T95" s="1019" t="s">
        <v>466</v>
      </c>
      <c r="U95" s="966"/>
      <c r="V95" s="1020"/>
      <c r="W95" s="1016">
        <f>26820-60</f>
        <v>26760</v>
      </c>
      <c r="X95" s="1022">
        <f>19150-3</f>
        <v>19147</v>
      </c>
      <c r="Y95" s="1016">
        <f>7293-65-3</f>
        <v>7225</v>
      </c>
      <c r="Z95" s="1020">
        <f>1000</f>
        <v>1000</v>
      </c>
      <c r="AA95" s="1015">
        <f t="shared" si="110"/>
        <v>54132</v>
      </c>
      <c r="AC95" s="1019" t="s">
        <v>466</v>
      </c>
      <c r="AD95" s="966"/>
      <c r="AE95" s="1020"/>
      <c r="AF95" s="1016">
        <f>26820-60</f>
        <v>26760</v>
      </c>
      <c r="AG95" s="1023">
        <f>19150-3</f>
        <v>19147</v>
      </c>
      <c r="AH95" s="1016">
        <f>7293-65</f>
        <v>7228</v>
      </c>
      <c r="AI95" s="1020">
        <f>1000</f>
        <v>1000</v>
      </c>
      <c r="AJ95" s="1015">
        <f t="shared" si="113"/>
        <v>54135</v>
      </c>
      <c r="AL95" s="1019" t="s">
        <v>466</v>
      </c>
      <c r="AM95" s="966"/>
      <c r="AN95" s="1020">
        <f>24400-28</f>
        <v>24372</v>
      </c>
      <c r="AO95" s="1016">
        <f>26820-63</f>
        <v>26757</v>
      </c>
      <c r="AP95" s="1022">
        <f>19150-3</f>
        <v>19147</v>
      </c>
      <c r="AQ95" s="1016">
        <f>7293-65</f>
        <v>7228</v>
      </c>
      <c r="AR95" s="1020">
        <f>1000</f>
        <v>1000</v>
      </c>
      <c r="AS95" s="1015">
        <f t="shared" si="114"/>
        <v>78504</v>
      </c>
      <c r="AU95" s="1019" t="s">
        <v>464</v>
      </c>
      <c r="AV95" s="1026"/>
      <c r="AW95" s="1204"/>
      <c r="AX95" s="1204">
        <f>26600-64</f>
        <v>26536</v>
      </c>
      <c r="AY95" s="1204">
        <f>10200-5</f>
        <v>10195</v>
      </c>
      <c r="AZ95" s="1204">
        <f>9828-13</f>
        <v>9815</v>
      </c>
      <c r="BA95" s="1204">
        <f>1796</f>
        <v>1796</v>
      </c>
      <c r="BB95" s="1017">
        <f t="shared" si="111"/>
        <v>48342</v>
      </c>
      <c r="BD95" s="1019" t="s">
        <v>465</v>
      </c>
      <c r="BE95" s="1021"/>
      <c r="BF95" s="1207"/>
      <c r="BG95" s="1206">
        <v>26534</v>
      </c>
      <c r="BH95" s="1206">
        <v>10195</v>
      </c>
      <c r="BI95" s="1206">
        <v>9815</v>
      </c>
      <c r="BJ95" s="1206">
        <v>1796</v>
      </c>
      <c r="BK95" s="1208">
        <v>48340</v>
      </c>
    </row>
    <row r="96" spans="2:89" ht="15.5" x14ac:dyDescent="0.35">
      <c r="B96" s="1019" t="s">
        <v>466</v>
      </c>
      <c r="C96" s="966"/>
      <c r="D96" s="1020"/>
      <c r="E96" s="1016">
        <f>26820-60</f>
        <v>26760</v>
      </c>
      <c r="F96" s="1016">
        <f>19150-3</f>
        <v>19147</v>
      </c>
      <c r="G96" s="1016">
        <f>7293-65-3</f>
        <v>7225</v>
      </c>
      <c r="H96" s="1020">
        <f>1000</f>
        <v>1000</v>
      </c>
      <c r="I96" s="1015">
        <f t="shared" si="112"/>
        <v>54132</v>
      </c>
      <c r="K96" s="1019" t="s">
        <v>465</v>
      </c>
      <c r="L96" s="1021"/>
      <c r="M96" s="1016"/>
      <c r="N96" s="1016">
        <f>11100-22</f>
        <v>11078</v>
      </c>
      <c r="O96" s="1024">
        <f>10200-5</f>
        <v>10195</v>
      </c>
      <c r="P96" s="1016">
        <f>9828-15</f>
        <v>9813</v>
      </c>
      <c r="Q96" s="1016">
        <f>1796</f>
        <v>1796</v>
      </c>
      <c r="R96" s="1015">
        <f t="shared" si="109"/>
        <v>32882</v>
      </c>
      <c r="T96" s="1019" t="s">
        <v>465</v>
      </c>
      <c r="U96" s="1021"/>
      <c r="V96" s="1016"/>
      <c r="W96" s="1016">
        <f>18000-32</f>
        <v>17968</v>
      </c>
      <c r="X96" s="1022">
        <f>10200-5</f>
        <v>10195</v>
      </c>
      <c r="Y96" s="1016">
        <f>9828-15</f>
        <v>9813</v>
      </c>
      <c r="Z96" s="1016">
        <f>1796</f>
        <v>1796</v>
      </c>
      <c r="AA96" s="1015">
        <f t="shared" si="110"/>
        <v>39772</v>
      </c>
      <c r="AC96" s="1019" t="s">
        <v>465</v>
      </c>
      <c r="AD96" s="1021"/>
      <c r="AE96" s="1016"/>
      <c r="AF96" s="1016">
        <f>26600-46</f>
        <v>26554</v>
      </c>
      <c r="AG96" s="1023">
        <f>10200-5</f>
        <v>10195</v>
      </c>
      <c r="AH96" s="1016">
        <f>9828-15</f>
        <v>9813</v>
      </c>
      <c r="AI96" s="1016">
        <f>1796</f>
        <v>1796</v>
      </c>
      <c r="AJ96" s="1015">
        <f t="shared" si="113"/>
        <v>48358</v>
      </c>
      <c r="AL96" s="1019" t="s">
        <v>465</v>
      </c>
      <c r="AM96" s="1021"/>
      <c r="AN96" s="1016"/>
      <c r="AO96" s="1016">
        <f>26600-64</f>
        <v>26536</v>
      </c>
      <c r="AP96" s="1022">
        <f>10200-5</f>
        <v>10195</v>
      </c>
      <c r="AQ96" s="1016">
        <f>9828-13</f>
        <v>9815</v>
      </c>
      <c r="AR96" s="1016">
        <f>1796</f>
        <v>1796</v>
      </c>
      <c r="AS96" s="1015">
        <f t="shared" si="114"/>
        <v>48342</v>
      </c>
      <c r="AU96" s="965" t="s">
        <v>463</v>
      </c>
      <c r="AV96" s="1018"/>
      <c r="AW96" s="1204"/>
      <c r="AX96" s="1204">
        <f>18800+230-78</f>
        <v>18952</v>
      </c>
      <c r="AY96" s="1204">
        <f>12600</f>
        <v>12600</v>
      </c>
      <c r="AZ96" s="1204">
        <f>9096</f>
        <v>9096</v>
      </c>
      <c r="BA96" s="1204">
        <v>0</v>
      </c>
      <c r="BB96" s="1017">
        <f t="shared" si="111"/>
        <v>40648</v>
      </c>
      <c r="BD96" s="1019" t="s">
        <v>464</v>
      </c>
      <c r="BE96" s="966"/>
      <c r="BF96" s="1207"/>
      <c r="BG96" s="1206">
        <v>25594</v>
      </c>
      <c r="BH96" s="1206">
        <v>12600</v>
      </c>
      <c r="BI96" s="1206">
        <v>9096</v>
      </c>
      <c r="BJ96" s="1206">
        <v>0</v>
      </c>
      <c r="BK96" s="1208">
        <v>47290</v>
      </c>
    </row>
    <row r="97" spans="2:63" ht="15.5" x14ac:dyDescent="0.35">
      <c r="B97" s="1019" t="s">
        <v>465</v>
      </c>
      <c r="C97" s="1021"/>
      <c r="D97" s="1016"/>
      <c r="E97" s="1016">
        <f>3000-6</f>
        <v>2994</v>
      </c>
      <c r="F97" s="1016">
        <f>10200-5</f>
        <v>10195</v>
      </c>
      <c r="G97" s="1016">
        <f>9828-15</f>
        <v>9813</v>
      </c>
      <c r="H97" s="1016">
        <f>1796</f>
        <v>1796</v>
      </c>
      <c r="I97" s="1015">
        <f t="shared" si="112"/>
        <v>24798</v>
      </c>
      <c r="K97" s="1019" t="s">
        <v>464</v>
      </c>
      <c r="L97" s="966"/>
      <c r="M97" s="1016"/>
      <c r="N97" s="1016">
        <v>201</v>
      </c>
      <c r="O97" s="1024">
        <f>12600</f>
        <v>12600</v>
      </c>
      <c r="P97" s="1016">
        <f>9096</f>
        <v>9096</v>
      </c>
      <c r="Q97" s="1016">
        <v>0</v>
      </c>
      <c r="R97" s="1015">
        <f t="shared" si="109"/>
        <v>21897</v>
      </c>
      <c r="T97" s="1019" t="s">
        <v>464</v>
      </c>
      <c r="U97" s="966"/>
      <c r="V97" s="1016"/>
      <c r="W97" s="1016">
        <v>241</v>
      </c>
      <c r="X97" s="1022">
        <f>12600</f>
        <v>12600</v>
      </c>
      <c r="Y97" s="1016">
        <f>9096</f>
        <v>9096</v>
      </c>
      <c r="Z97" s="1016">
        <v>0</v>
      </c>
      <c r="AA97" s="1015">
        <f t="shared" si="110"/>
        <v>21937</v>
      </c>
      <c r="AC97" s="1019" t="s">
        <v>464</v>
      </c>
      <c r="AD97" s="966"/>
      <c r="AE97" s="1016"/>
      <c r="AF97" s="1016">
        <v>234</v>
      </c>
      <c r="AG97" s="1023">
        <f>12600</f>
        <v>12600</v>
      </c>
      <c r="AH97" s="1016">
        <f>9096</f>
        <v>9096</v>
      </c>
      <c r="AI97" s="1016">
        <v>0</v>
      </c>
      <c r="AJ97" s="1015">
        <f t="shared" si="113"/>
        <v>21930</v>
      </c>
      <c r="AL97" s="1019" t="s">
        <v>464</v>
      </c>
      <c r="AM97" s="966"/>
      <c r="AN97" s="1016"/>
      <c r="AO97" s="1016">
        <f>234+9800-47</f>
        <v>9987</v>
      </c>
      <c r="AP97" s="1022">
        <f>12600</f>
        <v>12600</v>
      </c>
      <c r="AQ97" s="1016">
        <f>9096</f>
        <v>9096</v>
      </c>
      <c r="AR97" s="1016">
        <v>0</v>
      </c>
      <c r="AS97" s="1015">
        <f t="shared" si="114"/>
        <v>31683</v>
      </c>
      <c r="AU97" s="965" t="s">
        <v>462</v>
      </c>
      <c r="AV97" s="1018"/>
      <c r="AW97" s="1204"/>
      <c r="AX97" s="1204"/>
      <c r="AY97" s="1204">
        <f>38250-23-13-1</f>
        <v>38213</v>
      </c>
      <c r="AZ97" s="1204">
        <f>9382-20</f>
        <v>9362</v>
      </c>
      <c r="BA97" s="1205">
        <f>2200</f>
        <v>2200</v>
      </c>
      <c r="BB97" s="1017">
        <f t="shared" si="111"/>
        <v>49775</v>
      </c>
      <c r="BD97" s="965" t="s">
        <v>463</v>
      </c>
      <c r="BE97" s="966"/>
      <c r="BF97" s="1207"/>
      <c r="BG97" s="1207"/>
      <c r="BH97" s="1206">
        <v>25716</v>
      </c>
      <c r="BI97" s="1206">
        <v>9362</v>
      </c>
      <c r="BJ97" s="1206">
        <v>2200</v>
      </c>
      <c r="BK97" s="1208">
        <v>37278</v>
      </c>
    </row>
    <row r="98" spans="2:63" ht="15.5" x14ac:dyDescent="0.35">
      <c r="B98" s="1019" t="s">
        <v>464</v>
      </c>
      <c r="C98" s="966"/>
      <c r="D98" s="1016"/>
      <c r="E98" s="1016"/>
      <c r="F98" s="1016">
        <f>12600</f>
        <v>12600</v>
      </c>
      <c r="G98" s="1016">
        <f>9096</f>
        <v>9096</v>
      </c>
      <c r="H98" s="1016">
        <v>0</v>
      </c>
      <c r="I98" s="1015">
        <f t="shared" si="112"/>
        <v>21696</v>
      </c>
      <c r="K98" s="965" t="s">
        <v>463</v>
      </c>
      <c r="L98" s="966"/>
      <c r="M98" s="1016"/>
      <c r="N98" s="1016"/>
      <c r="O98" s="1024">
        <f>7500+10050-8-13</f>
        <v>17529</v>
      </c>
      <c r="P98" s="1016">
        <f>9382-20</f>
        <v>9362</v>
      </c>
      <c r="Q98" s="1025">
        <f>2200</f>
        <v>2200</v>
      </c>
      <c r="R98" s="1015">
        <f t="shared" si="109"/>
        <v>29091</v>
      </c>
      <c r="T98" s="965" t="s">
        <v>463</v>
      </c>
      <c r="U98" s="966"/>
      <c r="V98" s="1016"/>
      <c r="W98" s="1016"/>
      <c r="X98" s="1022">
        <f>12800+10050-13-13</f>
        <v>22824</v>
      </c>
      <c r="Y98" s="1016">
        <f>9382-20</f>
        <v>9362</v>
      </c>
      <c r="Z98" s="1025">
        <f>2200</f>
        <v>2200</v>
      </c>
      <c r="AA98" s="1015">
        <f t="shared" si="110"/>
        <v>34386</v>
      </c>
      <c r="AC98" s="965" t="s">
        <v>463</v>
      </c>
      <c r="AD98" s="966"/>
      <c r="AE98" s="1016"/>
      <c r="AF98" s="1016"/>
      <c r="AG98" s="1023">
        <f>15700+10050-23-13</f>
        <v>25714</v>
      </c>
      <c r="AH98" s="1016">
        <f>9382-20</f>
        <v>9362</v>
      </c>
      <c r="AI98" s="1025">
        <f>2200</f>
        <v>2200</v>
      </c>
      <c r="AJ98" s="1015">
        <f t="shared" si="113"/>
        <v>37276</v>
      </c>
      <c r="AL98" s="965" t="s">
        <v>463</v>
      </c>
      <c r="AM98" s="966"/>
      <c r="AN98" s="1016"/>
      <c r="AO98" s="1016"/>
      <c r="AP98" s="1022">
        <f>24900+10050-23-13</f>
        <v>34914</v>
      </c>
      <c r="AQ98" s="1016">
        <f>9382-20</f>
        <v>9362</v>
      </c>
      <c r="AR98" s="1025">
        <f>2200</f>
        <v>2200</v>
      </c>
      <c r="AS98" s="1015">
        <f t="shared" si="114"/>
        <v>46476</v>
      </c>
      <c r="AU98" s="965" t="s">
        <v>461</v>
      </c>
      <c r="AV98" s="1018"/>
      <c r="AW98" s="1204"/>
      <c r="AX98" s="1204"/>
      <c r="AY98" s="1204">
        <f>6200-65-19</f>
        <v>6116</v>
      </c>
      <c r="AZ98" s="1204">
        <f>11000</f>
        <v>11000</v>
      </c>
      <c r="BA98" s="1204">
        <v>1500</v>
      </c>
      <c r="BB98" s="1017">
        <f t="shared" si="111"/>
        <v>18616</v>
      </c>
      <c r="BD98" s="965" t="s">
        <v>462</v>
      </c>
      <c r="BE98" s="966"/>
      <c r="BF98" s="1207"/>
      <c r="BG98" s="1207"/>
      <c r="BH98" s="1206">
        <v>22807</v>
      </c>
      <c r="BI98" s="1206">
        <v>11000</v>
      </c>
      <c r="BJ98" s="1206">
        <v>1500</v>
      </c>
      <c r="BK98" s="1208">
        <v>35307</v>
      </c>
    </row>
    <row r="99" spans="2:63" ht="15.5" x14ac:dyDescent="0.35">
      <c r="B99" s="965" t="s">
        <v>463</v>
      </c>
      <c r="C99" s="966"/>
      <c r="D99" s="1016"/>
      <c r="E99" s="1016"/>
      <c r="F99" s="1016">
        <f>2400+10050-12</f>
        <v>12438</v>
      </c>
      <c r="G99" s="1016">
        <f>9382-20</f>
        <v>9362</v>
      </c>
      <c r="H99" s="1016">
        <f>2200</f>
        <v>2200</v>
      </c>
      <c r="I99" s="1015">
        <f t="shared" si="112"/>
        <v>24000</v>
      </c>
      <c r="K99" s="965" t="s">
        <v>462</v>
      </c>
      <c r="L99" s="966"/>
      <c r="M99" s="1016"/>
      <c r="N99" s="1016"/>
      <c r="O99" s="1024">
        <f>6200-20</f>
        <v>6180</v>
      </c>
      <c r="P99" s="1016">
        <f>11000</f>
        <v>11000</v>
      </c>
      <c r="Q99" s="1016">
        <v>1500</v>
      </c>
      <c r="R99" s="1015">
        <f t="shared" si="109"/>
        <v>18680</v>
      </c>
      <c r="T99" s="965" t="s">
        <v>462</v>
      </c>
      <c r="U99" s="966"/>
      <c r="V99" s="1016"/>
      <c r="W99" s="1016"/>
      <c r="X99" s="1022">
        <f>6200-19</f>
        <v>6181</v>
      </c>
      <c r="Y99" s="1016">
        <f>11000</f>
        <v>11000</v>
      </c>
      <c r="Z99" s="1016">
        <v>1500</v>
      </c>
      <c r="AA99" s="1015">
        <f t="shared" si="110"/>
        <v>18681</v>
      </c>
      <c r="AC99" s="965" t="s">
        <v>462</v>
      </c>
      <c r="AD99" s="966"/>
      <c r="AE99" s="1016"/>
      <c r="AF99" s="1016"/>
      <c r="AG99" s="1023">
        <f>6200-19</f>
        <v>6181</v>
      </c>
      <c r="AH99" s="1016">
        <f>11000</f>
        <v>11000</v>
      </c>
      <c r="AI99" s="1016">
        <v>1500</v>
      </c>
      <c r="AJ99" s="1015">
        <f t="shared" si="113"/>
        <v>18681</v>
      </c>
      <c r="AL99" s="965" t="s">
        <v>462</v>
      </c>
      <c r="AM99" s="966"/>
      <c r="AN99" s="1016"/>
      <c r="AO99" s="1016"/>
      <c r="AP99" s="1022">
        <f>6200-34-19</f>
        <v>6147</v>
      </c>
      <c r="AQ99" s="1016">
        <f>11000</f>
        <v>11000</v>
      </c>
      <c r="AR99" s="1016">
        <v>1500</v>
      </c>
      <c r="AS99" s="1015">
        <f t="shared" si="114"/>
        <v>18647</v>
      </c>
      <c r="AU99" s="965" t="s">
        <v>460</v>
      </c>
      <c r="AV99" s="1018"/>
      <c r="AW99" s="1204"/>
      <c r="AX99" s="1204"/>
      <c r="AY99" s="1204">
        <f>21200-4</f>
        <v>21196</v>
      </c>
      <c r="AZ99" s="1204">
        <f>6000-10</f>
        <v>5990</v>
      </c>
      <c r="BA99" s="1204">
        <v>600</v>
      </c>
      <c r="BB99" s="1017">
        <f t="shared" si="111"/>
        <v>27786</v>
      </c>
      <c r="BD99" s="965" t="s">
        <v>461</v>
      </c>
      <c r="BE99" s="966"/>
      <c r="BF99" s="1207"/>
      <c r="BG99" s="1207"/>
      <c r="BH99" s="1206">
        <v>21194</v>
      </c>
      <c r="BI99" s="1206">
        <v>6000</v>
      </c>
      <c r="BJ99" s="1206">
        <v>600</v>
      </c>
      <c r="BK99" s="1208">
        <v>27794</v>
      </c>
    </row>
    <row r="100" spans="2:63" ht="15.5" x14ac:dyDescent="0.35">
      <c r="B100" s="965" t="s">
        <v>462</v>
      </c>
      <c r="C100" s="966"/>
      <c r="D100" s="1016"/>
      <c r="E100" s="1016"/>
      <c r="F100" s="1016">
        <f>6200-20</f>
        <v>6180</v>
      </c>
      <c r="G100" s="1016">
        <f>11000</f>
        <v>11000</v>
      </c>
      <c r="H100" s="1016">
        <v>1500</v>
      </c>
      <c r="I100" s="1015">
        <f t="shared" si="112"/>
        <v>18680</v>
      </c>
      <c r="K100" s="965" t="s">
        <v>461</v>
      </c>
      <c r="L100" s="966"/>
      <c r="M100" s="1016"/>
      <c r="N100" s="1016"/>
      <c r="O100" s="1020">
        <f>8600</f>
        <v>8600</v>
      </c>
      <c r="P100" s="1016">
        <f>6000</f>
        <v>6000</v>
      </c>
      <c r="Q100" s="1016">
        <v>600</v>
      </c>
      <c r="R100" s="1015">
        <f t="shared" si="109"/>
        <v>15200</v>
      </c>
      <c r="T100" s="965" t="s">
        <v>461</v>
      </c>
      <c r="U100" s="966"/>
      <c r="V100" s="1016"/>
      <c r="W100" s="1016"/>
      <c r="X100" s="1020">
        <f>13100</f>
        <v>13100</v>
      </c>
      <c r="Y100" s="1016">
        <f>6000</f>
        <v>6000</v>
      </c>
      <c r="Z100" s="1016">
        <v>600</v>
      </c>
      <c r="AA100" s="1015">
        <f t="shared" si="110"/>
        <v>19700</v>
      </c>
      <c r="AC100" s="965" t="s">
        <v>461</v>
      </c>
      <c r="AD100" s="966"/>
      <c r="AE100" s="1016"/>
      <c r="AF100" s="1016"/>
      <c r="AG100" s="1020">
        <f>21200</f>
        <v>21200</v>
      </c>
      <c r="AH100" s="1016">
        <f>6000</f>
        <v>6000</v>
      </c>
      <c r="AI100" s="1016">
        <v>600</v>
      </c>
      <c r="AJ100" s="1015">
        <f t="shared" si="113"/>
        <v>27800</v>
      </c>
      <c r="AL100" s="965" t="s">
        <v>461</v>
      </c>
      <c r="AM100" s="966"/>
      <c r="AN100" s="1016"/>
      <c r="AO100" s="1016"/>
      <c r="AP100" s="1020">
        <f>21200</f>
        <v>21200</v>
      </c>
      <c r="AQ100" s="1016">
        <f>6000</f>
        <v>6000</v>
      </c>
      <c r="AR100" s="1016">
        <v>600</v>
      </c>
      <c r="AS100" s="1015">
        <f t="shared" si="114"/>
        <v>27800</v>
      </c>
      <c r="AU100" s="965" t="s">
        <v>459</v>
      </c>
      <c r="AV100" s="1018"/>
      <c r="AW100" s="1204"/>
      <c r="AX100" s="1204"/>
      <c r="AY100" s="1204">
        <f>6300</f>
        <v>6300</v>
      </c>
      <c r="AZ100" s="1204">
        <f>8400</f>
        <v>8400</v>
      </c>
      <c r="BA100" s="1204">
        <f>1200-2</f>
        <v>1198</v>
      </c>
      <c r="BB100" s="1017">
        <f t="shared" si="111"/>
        <v>15898</v>
      </c>
      <c r="BD100" s="965" t="s">
        <v>460</v>
      </c>
      <c r="BE100" s="966"/>
      <c r="BF100" s="1207"/>
      <c r="BG100" s="1207"/>
      <c r="BH100" s="1206">
        <v>12990</v>
      </c>
      <c r="BI100" s="1206">
        <v>8391</v>
      </c>
      <c r="BJ100" s="1206">
        <v>1197</v>
      </c>
      <c r="BK100" s="1208">
        <v>22578</v>
      </c>
    </row>
    <row r="101" spans="2:63" ht="15.5" x14ac:dyDescent="0.35">
      <c r="B101" s="965" t="s">
        <v>461</v>
      </c>
      <c r="C101" s="966"/>
      <c r="D101" s="1016"/>
      <c r="E101" s="1016"/>
      <c r="F101" s="1016">
        <f>6100</f>
        <v>6100</v>
      </c>
      <c r="G101" s="1016">
        <f>6000</f>
        <v>6000</v>
      </c>
      <c r="H101" s="1016">
        <v>600</v>
      </c>
      <c r="I101" s="1015">
        <f t="shared" si="112"/>
        <v>12700</v>
      </c>
      <c r="K101" s="965" t="s">
        <v>460</v>
      </c>
      <c r="L101" s="966"/>
      <c r="M101" s="1016"/>
      <c r="N101" s="1016"/>
      <c r="O101" s="1016"/>
      <c r="P101" s="1016">
        <f>8400-9</f>
        <v>8391</v>
      </c>
      <c r="Q101" s="1016">
        <f>1200-2</f>
        <v>1198</v>
      </c>
      <c r="R101" s="1015">
        <f t="shared" si="109"/>
        <v>9589</v>
      </c>
      <c r="T101" s="965" t="s">
        <v>460</v>
      </c>
      <c r="U101" s="966"/>
      <c r="V101" s="1016"/>
      <c r="W101" s="1016"/>
      <c r="X101" s="1016"/>
      <c r="Y101" s="1016">
        <f>8400-9</f>
        <v>8391</v>
      </c>
      <c r="Z101" s="1016">
        <f>1200-2</f>
        <v>1198</v>
      </c>
      <c r="AA101" s="1015">
        <f t="shared" si="110"/>
        <v>9589</v>
      </c>
      <c r="AC101" s="965" t="s">
        <v>460</v>
      </c>
      <c r="AD101" s="966"/>
      <c r="AE101" s="1016"/>
      <c r="AF101" s="1016"/>
      <c r="AG101" s="1016"/>
      <c r="AH101" s="1016">
        <f>8400-9</f>
        <v>8391</v>
      </c>
      <c r="AI101" s="1016">
        <f>1200-2</f>
        <v>1198</v>
      </c>
      <c r="AJ101" s="1015">
        <f t="shared" si="113"/>
        <v>9589</v>
      </c>
      <c r="AL101" s="965" t="s">
        <v>460</v>
      </c>
      <c r="AM101" s="966"/>
      <c r="AN101" s="1016"/>
      <c r="AO101" s="1016"/>
      <c r="AP101" s="1016"/>
      <c r="AQ101" s="1016">
        <f>8400-9</f>
        <v>8391</v>
      </c>
      <c r="AR101" s="1016">
        <f>1200-2</f>
        <v>1198</v>
      </c>
      <c r="AS101" s="1015">
        <f t="shared" si="114"/>
        <v>9589</v>
      </c>
      <c r="AU101" s="965" t="s">
        <v>458</v>
      </c>
      <c r="AV101" s="1018"/>
      <c r="AW101" s="1204"/>
      <c r="AX101" s="1204"/>
      <c r="AY101" s="1204"/>
      <c r="AZ101" s="1204">
        <f>8090-3</f>
        <v>8087</v>
      </c>
      <c r="BA101" s="1204">
        <v>600</v>
      </c>
      <c r="BB101" s="1017">
        <f t="shared" si="111"/>
        <v>8687</v>
      </c>
      <c r="BD101" s="965" t="s">
        <v>459</v>
      </c>
      <c r="BE101" s="966"/>
      <c r="BF101" s="1207"/>
      <c r="BG101" s="1207"/>
      <c r="BH101" s="1207"/>
      <c r="BI101" s="1206">
        <v>8087</v>
      </c>
      <c r="BJ101" s="1206">
        <v>600</v>
      </c>
      <c r="BK101" s="1208">
        <v>8687</v>
      </c>
    </row>
    <row r="102" spans="2:63" ht="15.5" x14ac:dyDescent="0.35">
      <c r="B102" s="965" t="s">
        <v>460</v>
      </c>
      <c r="C102" s="966"/>
      <c r="D102" s="1016"/>
      <c r="E102" s="1016"/>
      <c r="F102" s="1016"/>
      <c r="G102" s="1016">
        <f>8400-9</f>
        <v>8391</v>
      </c>
      <c r="H102" s="1016">
        <f>1200-2</f>
        <v>1198</v>
      </c>
      <c r="I102" s="1015">
        <f t="shared" si="112"/>
        <v>9589</v>
      </c>
      <c r="K102" s="965" t="s">
        <v>459</v>
      </c>
      <c r="L102" s="966"/>
      <c r="M102" s="1016"/>
      <c r="N102" s="1016"/>
      <c r="O102" s="1016"/>
      <c r="P102" s="1016">
        <f>8090-3</f>
        <v>8087</v>
      </c>
      <c r="Q102" s="1016">
        <v>600</v>
      </c>
      <c r="R102" s="1015">
        <f t="shared" si="109"/>
        <v>8687</v>
      </c>
      <c r="T102" s="965" t="s">
        <v>459</v>
      </c>
      <c r="U102" s="966"/>
      <c r="V102" s="1016"/>
      <c r="W102" s="1016"/>
      <c r="X102" s="1016"/>
      <c r="Y102" s="1016">
        <f>8090-3</f>
        <v>8087</v>
      </c>
      <c r="Z102" s="1016">
        <v>600</v>
      </c>
      <c r="AA102" s="1015">
        <f t="shared" si="110"/>
        <v>8687</v>
      </c>
      <c r="AC102" s="965" t="s">
        <v>459</v>
      </c>
      <c r="AD102" s="966"/>
      <c r="AE102" s="1016"/>
      <c r="AF102" s="1016"/>
      <c r="AG102" s="1016"/>
      <c r="AH102" s="1016">
        <f>8090-2</f>
        <v>8088</v>
      </c>
      <c r="AI102" s="1016">
        <v>600</v>
      </c>
      <c r="AJ102" s="1015">
        <f t="shared" si="113"/>
        <v>8688</v>
      </c>
      <c r="AL102" s="965" t="s">
        <v>459</v>
      </c>
      <c r="AM102" s="966"/>
      <c r="AN102" s="1016"/>
      <c r="AO102" s="1016"/>
      <c r="AP102" s="1016"/>
      <c r="AQ102" s="1016">
        <f>8090-2</f>
        <v>8088</v>
      </c>
      <c r="AR102" s="1016">
        <v>600</v>
      </c>
      <c r="AS102" s="1015">
        <f t="shared" si="114"/>
        <v>8688</v>
      </c>
      <c r="AU102" s="965" t="s">
        <v>457</v>
      </c>
      <c r="AV102" s="1018"/>
      <c r="AW102" s="1204"/>
      <c r="AX102" s="1204"/>
      <c r="AY102" s="1204"/>
      <c r="AZ102" s="1204">
        <f>10400-15</f>
        <v>10385</v>
      </c>
      <c r="BA102" s="1204"/>
      <c r="BB102" s="1017">
        <f t="shared" si="111"/>
        <v>10385</v>
      </c>
      <c r="BD102" s="965" t="s">
        <v>458</v>
      </c>
      <c r="BE102" s="966"/>
      <c r="BF102" s="1207"/>
      <c r="BG102" s="1207"/>
      <c r="BH102" s="1207"/>
      <c r="BI102" s="1206">
        <v>10385</v>
      </c>
      <c r="BJ102" s="1206"/>
      <c r="BK102" s="1208">
        <v>10385</v>
      </c>
    </row>
    <row r="103" spans="2:63" ht="15.5" x14ac:dyDescent="0.35">
      <c r="B103" s="965" t="s">
        <v>459</v>
      </c>
      <c r="C103" s="966"/>
      <c r="D103" s="1016"/>
      <c r="E103" s="1016"/>
      <c r="F103" s="1016"/>
      <c r="G103" s="1016">
        <f>8090-3</f>
        <v>8087</v>
      </c>
      <c r="H103" s="1016">
        <v>600</v>
      </c>
      <c r="I103" s="1015">
        <f t="shared" si="112"/>
        <v>8687</v>
      </c>
      <c r="K103" s="965" t="s">
        <v>458</v>
      </c>
      <c r="L103" s="966"/>
      <c r="M103" s="1016"/>
      <c r="N103" s="1016"/>
      <c r="O103" s="1016"/>
      <c r="P103" s="1016">
        <f>3000+2100-14-2</f>
        <v>5084</v>
      </c>
      <c r="Q103" s="1016"/>
      <c r="R103" s="1015">
        <f t="shared" si="109"/>
        <v>5084</v>
      </c>
      <c r="T103" s="965" t="s">
        <v>458</v>
      </c>
      <c r="U103" s="966"/>
      <c r="V103" s="1016"/>
      <c r="W103" s="1016"/>
      <c r="X103" s="1016"/>
      <c r="Y103" s="1016">
        <f>3000+2100-15-2+2700</f>
        <v>7783</v>
      </c>
      <c r="Z103" s="1016"/>
      <c r="AA103" s="1015">
        <f t="shared" si="110"/>
        <v>7783</v>
      </c>
      <c r="AC103" s="965" t="s">
        <v>458</v>
      </c>
      <c r="AD103" s="966"/>
      <c r="AE103" s="1016"/>
      <c r="AF103" s="1016"/>
      <c r="AG103" s="1016"/>
      <c r="AH103" s="1016">
        <f>3000+2100-15-2+2700+2600</f>
        <v>10383</v>
      </c>
      <c r="AI103" s="1016"/>
      <c r="AJ103" s="1015">
        <f t="shared" si="113"/>
        <v>10383</v>
      </c>
      <c r="AL103" s="965" t="s">
        <v>458</v>
      </c>
      <c r="AM103" s="966"/>
      <c r="AN103" s="1016"/>
      <c r="AO103" s="1016"/>
      <c r="AP103" s="1016"/>
      <c r="AQ103" s="1016">
        <f>3000+2100-15-2+2700+2600</f>
        <v>10383</v>
      </c>
      <c r="AR103" s="1016"/>
      <c r="AS103" s="1015">
        <f t="shared" si="114"/>
        <v>10383</v>
      </c>
      <c r="AU103" s="965" t="s">
        <v>456</v>
      </c>
      <c r="AV103" s="1018"/>
      <c r="AW103" s="1204"/>
      <c r="AX103" s="1204"/>
      <c r="AY103" s="1204"/>
      <c r="AZ103" s="1204">
        <v>12350</v>
      </c>
      <c r="BA103" s="1204"/>
      <c r="BB103" s="1017">
        <f t="shared" si="111"/>
        <v>12350</v>
      </c>
      <c r="BD103" s="965" t="s">
        <v>457</v>
      </c>
      <c r="BE103" s="966"/>
      <c r="BF103" s="1207"/>
      <c r="BG103" s="1207"/>
      <c r="BH103" s="1207"/>
      <c r="BI103" s="1206">
        <v>15335</v>
      </c>
      <c r="BJ103" s="1207"/>
      <c r="BK103" s="1208">
        <v>15335</v>
      </c>
    </row>
    <row r="104" spans="2:63" ht="15.5" x14ac:dyDescent="0.35">
      <c r="B104" s="965" t="s">
        <v>458</v>
      </c>
      <c r="C104" s="966"/>
      <c r="D104" s="1016"/>
      <c r="E104" s="1016"/>
      <c r="F104" s="1016"/>
      <c r="G104" s="1016">
        <f>3000+2100-14</f>
        <v>5086</v>
      </c>
      <c r="H104" s="1016"/>
      <c r="I104" s="1015">
        <f t="shared" si="112"/>
        <v>5086</v>
      </c>
      <c r="K104" s="965" t="s">
        <v>457</v>
      </c>
      <c r="L104" s="966"/>
      <c r="M104" s="1016"/>
      <c r="N104" s="1016"/>
      <c r="O104" s="1016"/>
      <c r="P104" s="1016">
        <f>9150</f>
        <v>9150</v>
      </c>
      <c r="Q104" s="1016"/>
      <c r="R104" s="1015">
        <f t="shared" si="109"/>
        <v>9150</v>
      </c>
      <c r="T104" s="965" t="s">
        <v>457</v>
      </c>
      <c r="U104" s="966"/>
      <c r="V104" s="1016"/>
      <c r="W104" s="1016"/>
      <c r="X104" s="1016"/>
      <c r="Y104" s="1016">
        <f>9150</f>
        <v>9150</v>
      </c>
      <c r="Z104" s="1016"/>
      <c r="AA104" s="1015">
        <f t="shared" si="110"/>
        <v>9150</v>
      </c>
      <c r="AC104" s="965" t="s">
        <v>457</v>
      </c>
      <c r="AD104" s="966"/>
      <c r="AE104" s="1016"/>
      <c r="AF104" s="1016"/>
      <c r="AG104" s="1016"/>
      <c r="AH104" s="1016">
        <f>9150</f>
        <v>9150</v>
      </c>
      <c r="AI104" s="1016"/>
      <c r="AJ104" s="1015">
        <f t="shared" si="113"/>
        <v>9150</v>
      </c>
      <c r="AL104" s="965" t="s">
        <v>457</v>
      </c>
      <c r="AM104" s="966"/>
      <c r="AN104" s="1016"/>
      <c r="AO104" s="1016"/>
      <c r="AP104" s="1016"/>
      <c r="AQ104" s="1016">
        <v>12350</v>
      </c>
      <c r="AR104" s="1016"/>
      <c r="AS104" s="1015">
        <f t="shared" si="114"/>
        <v>12350</v>
      </c>
      <c r="AU104" s="965" t="s">
        <v>455</v>
      </c>
      <c r="AV104" s="1018"/>
      <c r="AW104" s="1204"/>
      <c r="AX104" s="1204"/>
      <c r="AY104" s="1204"/>
      <c r="AZ104" s="1204">
        <f>9900-1</f>
        <v>9899</v>
      </c>
      <c r="BA104" s="1204"/>
      <c r="BB104" s="1017">
        <f t="shared" si="111"/>
        <v>9899</v>
      </c>
      <c r="BD104" s="965" t="s">
        <v>456</v>
      </c>
      <c r="BE104" s="966"/>
      <c r="BF104" s="1207"/>
      <c r="BG104" s="1207"/>
      <c r="BH104" s="1207"/>
      <c r="BI104" s="1206">
        <v>9899</v>
      </c>
      <c r="BJ104" s="1207"/>
      <c r="BK104" s="1208">
        <v>9899</v>
      </c>
    </row>
    <row r="105" spans="2:63" ht="15.5" x14ac:dyDescent="0.35">
      <c r="B105" s="965" t="s">
        <v>457</v>
      </c>
      <c r="C105" s="966"/>
      <c r="D105" s="1016"/>
      <c r="E105" s="1016"/>
      <c r="F105" s="1016"/>
      <c r="G105" s="1016">
        <f>9150</f>
        <v>9150</v>
      </c>
      <c r="H105" s="1016"/>
      <c r="I105" s="1015">
        <f t="shared" si="112"/>
        <v>9150</v>
      </c>
      <c r="K105" s="965" t="s">
        <v>456</v>
      </c>
      <c r="L105" s="966"/>
      <c r="M105" s="1016"/>
      <c r="N105" s="1016"/>
      <c r="O105" s="1016"/>
      <c r="P105" s="1016">
        <f>9900-1</f>
        <v>9899</v>
      </c>
      <c r="Q105" s="1016"/>
      <c r="R105" s="1015">
        <f t="shared" si="109"/>
        <v>9899</v>
      </c>
      <c r="T105" s="965" t="s">
        <v>456</v>
      </c>
      <c r="U105" s="966"/>
      <c r="V105" s="1016"/>
      <c r="W105" s="1016"/>
      <c r="X105" s="1016"/>
      <c r="Y105" s="1016">
        <f>9900-1</f>
        <v>9899</v>
      </c>
      <c r="Z105" s="1016"/>
      <c r="AA105" s="1015">
        <f t="shared" si="110"/>
        <v>9899</v>
      </c>
      <c r="AC105" s="965" t="s">
        <v>456</v>
      </c>
      <c r="AD105" s="966"/>
      <c r="AE105" s="1016"/>
      <c r="AF105" s="1016"/>
      <c r="AG105" s="1016"/>
      <c r="AH105" s="1016">
        <f>9900-1</f>
        <v>9899</v>
      </c>
      <c r="AI105" s="1016"/>
      <c r="AJ105" s="1015">
        <f t="shared" si="113"/>
        <v>9899</v>
      </c>
      <c r="AL105" s="965" t="s">
        <v>456</v>
      </c>
      <c r="AM105" s="966"/>
      <c r="AN105" s="1016"/>
      <c r="AO105" s="1016"/>
      <c r="AP105" s="1016"/>
      <c r="AQ105" s="1016">
        <f>9900-1</f>
        <v>9899</v>
      </c>
      <c r="AR105" s="1016"/>
      <c r="AS105" s="1015">
        <f t="shared" si="114"/>
        <v>9899</v>
      </c>
      <c r="AU105" s="965" t="s">
        <v>454</v>
      </c>
      <c r="AV105" s="1018"/>
      <c r="AW105" s="1204"/>
      <c r="AX105" s="1204"/>
      <c r="AY105" s="1204"/>
      <c r="AZ105" s="1204">
        <f>7800</f>
        <v>7800</v>
      </c>
      <c r="BA105" s="1204"/>
      <c r="BB105" s="1017">
        <f t="shared" si="111"/>
        <v>7800</v>
      </c>
      <c r="BD105" s="965" t="s">
        <v>455</v>
      </c>
      <c r="BE105" s="966"/>
      <c r="BF105" s="1207"/>
      <c r="BG105" s="1207"/>
      <c r="BH105" s="1207"/>
      <c r="BI105" s="1206">
        <v>7800</v>
      </c>
      <c r="BJ105" s="1207"/>
      <c r="BK105" s="1208">
        <v>7800</v>
      </c>
    </row>
    <row r="106" spans="2:63" ht="18.5" x14ac:dyDescent="0.35">
      <c r="B106" s="965" t="s">
        <v>456</v>
      </c>
      <c r="C106" s="966"/>
      <c r="D106" s="1016"/>
      <c r="E106" s="1016"/>
      <c r="F106" s="1016"/>
      <c r="G106" s="1016">
        <f>9900</f>
        <v>9900</v>
      </c>
      <c r="H106" s="1016"/>
      <c r="I106" s="1015">
        <f t="shared" si="112"/>
        <v>9900</v>
      </c>
      <c r="K106" s="965" t="s">
        <v>455</v>
      </c>
      <c r="L106" s="966"/>
      <c r="M106" s="1016"/>
      <c r="N106" s="1016"/>
      <c r="O106" s="1016"/>
      <c r="P106" s="1016">
        <f>7800</f>
        <v>7800</v>
      </c>
      <c r="Q106" s="1016"/>
      <c r="R106" s="1015">
        <f t="shared" si="109"/>
        <v>7800</v>
      </c>
      <c r="T106" s="965" t="s">
        <v>455</v>
      </c>
      <c r="U106" s="966"/>
      <c r="V106" s="1016"/>
      <c r="W106" s="1016"/>
      <c r="X106" s="1016"/>
      <c r="Y106" s="1016">
        <f>7800</f>
        <v>7800</v>
      </c>
      <c r="Z106" s="1016"/>
      <c r="AA106" s="1015">
        <f t="shared" si="110"/>
        <v>7800</v>
      </c>
      <c r="AC106" s="965" t="s">
        <v>455</v>
      </c>
      <c r="AD106" s="966"/>
      <c r="AE106" s="1016"/>
      <c r="AF106" s="1016"/>
      <c r="AG106" s="1016"/>
      <c r="AH106" s="1016">
        <f>7800</f>
        <v>7800</v>
      </c>
      <c r="AI106" s="1016"/>
      <c r="AJ106" s="1015">
        <f t="shared" si="113"/>
        <v>7800</v>
      </c>
      <c r="AL106" s="965" t="s">
        <v>455</v>
      </c>
      <c r="AM106" s="966"/>
      <c r="AN106" s="1016"/>
      <c r="AO106" s="1016"/>
      <c r="AP106" s="1016"/>
      <c r="AQ106" s="1016">
        <f>7800</f>
        <v>7800</v>
      </c>
      <c r="AR106" s="1016"/>
      <c r="AS106" s="1015">
        <f t="shared" si="114"/>
        <v>7800</v>
      </c>
      <c r="AU106" s="965" t="s">
        <v>453</v>
      </c>
      <c r="AV106" s="1018"/>
      <c r="AW106" s="1204"/>
      <c r="AX106" s="1204"/>
      <c r="AY106" s="1204"/>
      <c r="AZ106" s="1204">
        <f>8800-6</f>
        <v>8794</v>
      </c>
      <c r="BA106" s="1204"/>
      <c r="BB106" s="1017">
        <f t="shared" si="111"/>
        <v>8794</v>
      </c>
      <c r="BD106" s="965" t="s">
        <v>454</v>
      </c>
      <c r="BE106" s="966"/>
      <c r="BF106" s="1207"/>
      <c r="BG106" s="1207"/>
      <c r="BH106" s="1207"/>
      <c r="BI106" s="1206">
        <v>8794</v>
      </c>
      <c r="BJ106" s="1207"/>
      <c r="BK106" s="1208">
        <v>8794</v>
      </c>
    </row>
    <row r="107" spans="2:63" ht="18.5" x14ac:dyDescent="0.35">
      <c r="B107" s="965" t="s">
        <v>455</v>
      </c>
      <c r="C107" s="966"/>
      <c r="D107" s="1016"/>
      <c r="E107" s="1016"/>
      <c r="F107" s="1016"/>
      <c r="G107" s="1016">
        <f>7800</f>
        <v>7800</v>
      </c>
      <c r="H107" s="1016"/>
      <c r="I107" s="1015">
        <f t="shared" si="112"/>
        <v>7800</v>
      </c>
      <c r="K107" s="965" t="s">
        <v>454</v>
      </c>
      <c r="L107" s="966"/>
      <c r="M107" s="1016"/>
      <c r="N107" s="1016"/>
      <c r="O107" s="1016"/>
      <c r="P107" s="1016">
        <f>8800-10</f>
        <v>8790</v>
      </c>
      <c r="Q107" s="1016"/>
      <c r="R107" s="1015">
        <f t="shared" si="109"/>
        <v>8790</v>
      </c>
      <c r="T107" s="965" t="s">
        <v>454</v>
      </c>
      <c r="U107" s="966"/>
      <c r="V107" s="1016"/>
      <c r="W107" s="1016"/>
      <c r="X107" s="1016"/>
      <c r="Y107" s="1016">
        <f>8800-6</f>
        <v>8794</v>
      </c>
      <c r="Z107" s="1016"/>
      <c r="AA107" s="1015">
        <f t="shared" si="110"/>
        <v>8794</v>
      </c>
      <c r="AC107" s="965" t="s">
        <v>454</v>
      </c>
      <c r="AD107" s="966"/>
      <c r="AE107" s="1016"/>
      <c r="AF107" s="1016"/>
      <c r="AG107" s="1016"/>
      <c r="AH107" s="1016">
        <f>8800-6</f>
        <v>8794</v>
      </c>
      <c r="AI107" s="1016"/>
      <c r="AJ107" s="1015">
        <f t="shared" si="113"/>
        <v>8794</v>
      </c>
      <c r="AL107" s="965" t="s">
        <v>454</v>
      </c>
      <c r="AM107" s="966"/>
      <c r="AN107" s="1016"/>
      <c r="AO107" s="1016"/>
      <c r="AP107" s="1016"/>
      <c r="AQ107" s="1016">
        <f>8800-6</f>
        <v>8794</v>
      </c>
      <c r="AR107" s="1016"/>
      <c r="AS107" s="1015">
        <f t="shared" si="114"/>
        <v>8794</v>
      </c>
      <c r="AU107" s="965" t="s">
        <v>452</v>
      </c>
      <c r="AV107" s="1018"/>
      <c r="AW107" s="1204"/>
      <c r="AX107" s="1204"/>
      <c r="AY107" s="1204"/>
      <c r="AZ107" s="1204">
        <f>13200+5734-30-2</f>
        <v>18902</v>
      </c>
      <c r="BA107" s="1204"/>
      <c r="BB107" s="1017">
        <f t="shared" si="111"/>
        <v>18902</v>
      </c>
      <c r="BD107" s="965" t="s">
        <v>453</v>
      </c>
      <c r="BE107" s="966"/>
      <c r="BF107" s="1207"/>
      <c r="BG107" s="1207"/>
      <c r="BH107" s="1207"/>
      <c r="BI107" s="1206">
        <v>18857</v>
      </c>
      <c r="BJ107" s="1207"/>
      <c r="BK107" s="1208">
        <v>18857</v>
      </c>
    </row>
    <row r="108" spans="2:63" ht="18.5" x14ac:dyDescent="0.35">
      <c r="B108" s="965" t="s">
        <v>454</v>
      </c>
      <c r="C108" s="966"/>
      <c r="D108" s="1016"/>
      <c r="E108" s="1016"/>
      <c r="F108" s="1016"/>
      <c r="G108" s="1016">
        <f>8800-9</f>
        <v>8791</v>
      </c>
      <c r="H108" s="1016"/>
      <c r="I108" s="1015">
        <f t="shared" si="112"/>
        <v>8791</v>
      </c>
      <c r="K108" s="965" t="s">
        <v>453</v>
      </c>
      <c r="L108" s="966"/>
      <c r="M108" s="1016"/>
      <c r="N108" s="1016"/>
      <c r="O108" s="1016"/>
      <c r="P108" s="1016">
        <f>3800+4600+5950-35+2100-10</f>
        <v>16405</v>
      </c>
      <c r="Q108" s="1016"/>
      <c r="R108" s="1015">
        <f t="shared" si="109"/>
        <v>16405</v>
      </c>
      <c r="T108" s="965" t="s">
        <v>453</v>
      </c>
      <c r="U108" s="966"/>
      <c r="V108" s="1016"/>
      <c r="W108" s="1016"/>
      <c r="X108" s="1016"/>
      <c r="Y108" s="1016">
        <f>3800+4600+5904+2100-10-20</f>
        <v>16374</v>
      </c>
      <c r="Z108" s="1016"/>
      <c r="AA108" s="1015">
        <f t="shared" si="110"/>
        <v>16374</v>
      </c>
      <c r="AC108" s="965" t="s">
        <v>453</v>
      </c>
      <c r="AD108" s="966"/>
      <c r="AE108" s="1016"/>
      <c r="AF108" s="1016"/>
      <c r="AG108" s="1016"/>
      <c r="AH108" s="1016">
        <f>3800+4600+5850+2100-10-20+2700</f>
        <v>19020</v>
      </c>
      <c r="AI108" s="1016"/>
      <c r="AJ108" s="1015">
        <f t="shared" si="113"/>
        <v>19020</v>
      </c>
      <c r="AL108" s="965" t="s">
        <v>453</v>
      </c>
      <c r="AM108" s="966"/>
      <c r="AN108" s="1016"/>
      <c r="AO108" s="1016"/>
      <c r="AP108" s="1016"/>
      <c r="AQ108" s="1016">
        <f>3800+4600+5795+2100-10-20+2700-2</f>
        <v>18963</v>
      </c>
      <c r="AR108" s="1016"/>
      <c r="AS108" s="1015">
        <f t="shared" si="114"/>
        <v>18963</v>
      </c>
      <c r="AU108" s="965" t="s">
        <v>451</v>
      </c>
      <c r="AV108" s="1018"/>
      <c r="AW108" s="1204"/>
      <c r="AX108" s="1204"/>
      <c r="AY108" s="1204"/>
      <c r="AZ108" s="1204">
        <f>11400-50</f>
        <v>11350</v>
      </c>
      <c r="BA108" s="1204"/>
      <c r="BB108" s="1017">
        <f t="shared" si="111"/>
        <v>11350</v>
      </c>
      <c r="BD108" s="965" t="s">
        <v>452</v>
      </c>
      <c r="BE108" s="966"/>
      <c r="BF108" s="1207"/>
      <c r="BG108" s="1207"/>
      <c r="BH108" s="1207"/>
      <c r="BI108" s="1206">
        <v>14650</v>
      </c>
      <c r="BJ108" s="1207"/>
      <c r="BK108" s="1208">
        <v>14650</v>
      </c>
    </row>
    <row r="109" spans="2:63" ht="18.5" x14ac:dyDescent="0.35">
      <c r="B109" s="965" t="s">
        <v>453</v>
      </c>
      <c r="C109" s="966"/>
      <c r="D109" s="1016"/>
      <c r="E109" s="1016"/>
      <c r="F109" s="1016"/>
      <c r="G109" s="1016">
        <f>3800+4600+6018-35</f>
        <v>14383</v>
      </c>
      <c r="H109" s="1016"/>
      <c r="I109" s="1015">
        <f t="shared" si="112"/>
        <v>14383</v>
      </c>
      <c r="K109" s="965" t="s">
        <v>452</v>
      </c>
      <c r="L109" s="966"/>
      <c r="M109" s="1016"/>
      <c r="N109" s="1016"/>
      <c r="O109" s="1016"/>
      <c r="P109" s="1016">
        <f>4800-50</f>
        <v>4750</v>
      </c>
      <c r="Q109" s="1016"/>
      <c r="R109" s="1015">
        <f t="shared" si="109"/>
        <v>4750</v>
      </c>
      <c r="T109" s="965" t="s">
        <v>452</v>
      </c>
      <c r="U109" s="966"/>
      <c r="V109" s="1016"/>
      <c r="W109" s="1016"/>
      <c r="X109" s="1016"/>
      <c r="Y109" s="1016">
        <f>4800-50</f>
        <v>4750</v>
      </c>
      <c r="Z109" s="1016"/>
      <c r="AA109" s="1015">
        <f t="shared" si="110"/>
        <v>4750</v>
      </c>
      <c r="AC109" s="965" t="s">
        <v>452</v>
      </c>
      <c r="AD109" s="966"/>
      <c r="AE109" s="1016"/>
      <c r="AF109" s="1016"/>
      <c r="AG109" s="1016"/>
      <c r="AH109" s="1016">
        <f>4800-50</f>
        <v>4750</v>
      </c>
      <c r="AI109" s="1016"/>
      <c r="AJ109" s="1015">
        <f t="shared" si="113"/>
        <v>4750</v>
      </c>
      <c r="AL109" s="965" t="s">
        <v>452</v>
      </c>
      <c r="AM109" s="966"/>
      <c r="AN109" s="1016"/>
      <c r="AO109" s="1016"/>
      <c r="AP109" s="1016"/>
      <c r="AQ109" s="1016">
        <f>8400-50</f>
        <v>8350</v>
      </c>
      <c r="AR109" s="1016"/>
      <c r="AS109" s="1015">
        <f t="shared" si="114"/>
        <v>8350</v>
      </c>
      <c r="AU109" s="965" t="s">
        <v>450</v>
      </c>
      <c r="AV109" s="1018"/>
      <c r="AW109" s="1204"/>
      <c r="AX109" s="1204"/>
      <c r="AY109" s="1204"/>
      <c r="AZ109" s="1204">
        <v>7000</v>
      </c>
      <c r="BA109" s="1204"/>
      <c r="BB109" s="1017">
        <f t="shared" si="111"/>
        <v>7000</v>
      </c>
      <c r="BD109" s="965" t="s">
        <v>451</v>
      </c>
      <c r="BE109" s="966"/>
      <c r="BF109" s="1207"/>
      <c r="BG109" s="1207"/>
      <c r="BH109" s="1207"/>
      <c r="BI109" s="1206">
        <v>7000</v>
      </c>
      <c r="BJ109" s="1207"/>
      <c r="BK109" s="1208">
        <v>7000</v>
      </c>
    </row>
    <row r="110" spans="2:63" ht="15.5" x14ac:dyDescent="0.35">
      <c r="B110" s="965" t="s">
        <v>452</v>
      </c>
      <c r="C110" s="966"/>
      <c r="D110" s="1016"/>
      <c r="E110" s="1016"/>
      <c r="F110" s="1016"/>
      <c r="G110" s="1016">
        <f>4800-50</f>
        <v>4750</v>
      </c>
      <c r="H110" s="1016"/>
      <c r="I110" s="1015">
        <f t="shared" si="112"/>
        <v>4750</v>
      </c>
      <c r="K110" s="965" t="s">
        <v>451</v>
      </c>
      <c r="L110" s="966"/>
      <c r="M110" s="1016"/>
      <c r="N110" s="1016"/>
      <c r="O110" s="1016"/>
      <c r="P110" s="1016">
        <v>7000</v>
      </c>
      <c r="Q110" s="1016"/>
      <c r="R110" s="1015">
        <f t="shared" si="109"/>
        <v>7000</v>
      </c>
      <c r="T110" s="965" t="s">
        <v>451</v>
      </c>
      <c r="U110" s="966"/>
      <c r="V110" s="1016"/>
      <c r="W110" s="1016"/>
      <c r="X110" s="1016"/>
      <c r="Y110" s="1016">
        <v>7000</v>
      </c>
      <c r="Z110" s="1016"/>
      <c r="AA110" s="1015">
        <f t="shared" si="110"/>
        <v>7000</v>
      </c>
      <c r="AC110" s="965" t="s">
        <v>451</v>
      </c>
      <c r="AD110" s="966"/>
      <c r="AE110" s="1016"/>
      <c r="AF110" s="1016"/>
      <c r="AG110" s="1016"/>
      <c r="AH110" s="1016">
        <v>7000</v>
      </c>
      <c r="AI110" s="1016"/>
      <c r="AJ110" s="1015">
        <f t="shared" si="113"/>
        <v>7000</v>
      </c>
      <c r="AL110" s="965" t="s">
        <v>451</v>
      </c>
      <c r="AM110" s="966"/>
      <c r="AN110" s="1016"/>
      <c r="AO110" s="1016"/>
      <c r="AP110" s="1016"/>
      <c r="AQ110" s="1016">
        <v>7000</v>
      </c>
      <c r="AR110" s="1016"/>
      <c r="AS110" s="1015">
        <f t="shared" si="114"/>
        <v>7000</v>
      </c>
      <c r="AU110" s="965" t="s">
        <v>449</v>
      </c>
      <c r="AV110" s="1018"/>
      <c r="AW110" s="1204"/>
      <c r="AX110" s="1204"/>
      <c r="AY110" s="1204"/>
      <c r="AZ110" s="1204">
        <f>8700</f>
        <v>8700</v>
      </c>
      <c r="BA110" s="1204"/>
      <c r="BB110" s="1017">
        <f t="shared" si="111"/>
        <v>8700</v>
      </c>
      <c r="BD110" s="965" t="s">
        <v>450</v>
      </c>
      <c r="BE110" s="966"/>
      <c r="BF110" s="1207"/>
      <c r="BG110" s="1207"/>
      <c r="BH110" s="1207"/>
      <c r="BI110" s="1206">
        <v>8700</v>
      </c>
      <c r="BJ110" s="1207"/>
      <c r="BK110" s="1208">
        <v>8700</v>
      </c>
    </row>
    <row r="111" spans="2:63" ht="15.5" x14ac:dyDescent="0.35">
      <c r="B111" s="965" t="s">
        <v>451</v>
      </c>
      <c r="C111" s="966"/>
      <c r="D111" s="1016"/>
      <c r="E111" s="1016"/>
      <c r="F111" s="1016"/>
      <c r="G111" s="1016">
        <v>7000</v>
      </c>
      <c r="H111" s="1016"/>
      <c r="I111" s="1015">
        <f t="shared" si="112"/>
        <v>7000</v>
      </c>
      <c r="K111" s="965" t="s">
        <v>450</v>
      </c>
      <c r="L111" s="966"/>
      <c r="M111" s="1016"/>
      <c r="N111" s="1016"/>
      <c r="O111" s="1016"/>
      <c r="P111" s="1016">
        <f>8700</f>
        <v>8700</v>
      </c>
      <c r="Q111" s="1016"/>
      <c r="R111" s="1015">
        <f t="shared" si="109"/>
        <v>8700</v>
      </c>
      <c r="T111" s="965" t="s">
        <v>450</v>
      </c>
      <c r="U111" s="966"/>
      <c r="V111" s="1016"/>
      <c r="W111" s="1016"/>
      <c r="X111" s="1016"/>
      <c r="Y111" s="1016">
        <f>8700</f>
        <v>8700</v>
      </c>
      <c r="Z111" s="1016"/>
      <c r="AA111" s="1015">
        <f t="shared" si="110"/>
        <v>8700</v>
      </c>
      <c r="AC111" s="965" t="s">
        <v>450</v>
      </c>
      <c r="AD111" s="966"/>
      <c r="AE111" s="1016"/>
      <c r="AF111" s="1016"/>
      <c r="AG111" s="1016"/>
      <c r="AH111" s="1016">
        <f>8700</f>
        <v>8700</v>
      </c>
      <c r="AI111" s="1016"/>
      <c r="AJ111" s="1015">
        <f t="shared" si="113"/>
        <v>8700</v>
      </c>
      <c r="AL111" s="965" t="s">
        <v>450</v>
      </c>
      <c r="AM111" s="966"/>
      <c r="AN111" s="1016"/>
      <c r="AO111" s="1016"/>
      <c r="AP111" s="1016"/>
      <c r="AQ111" s="1016">
        <f>8700</f>
        <v>8700</v>
      </c>
      <c r="AR111" s="1016"/>
      <c r="AS111" s="1015">
        <f t="shared" si="114"/>
        <v>8700</v>
      </c>
      <c r="AU111" s="965" t="s">
        <v>448</v>
      </c>
      <c r="AV111" s="1018"/>
      <c r="AW111" s="1204"/>
      <c r="AX111" s="1204"/>
      <c r="AY111" s="1204"/>
      <c r="AZ111" s="1204">
        <f>5300</f>
        <v>5300</v>
      </c>
      <c r="BA111" s="1204"/>
      <c r="BB111" s="1017">
        <f t="shared" si="111"/>
        <v>5300</v>
      </c>
      <c r="BD111" s="965" t="s">
        <v>449</v>
      </c>
      <c r="BE111" s="966"/>
      <c r="BF111" s="1207"/>
      <c r="BG111" s="1207"/>
      <c r="BH111" s="1207"/>
      <c r="BI111" s="1206">
        <v>5300</v>
      </c>
      <c r="BJ111" s="1207"/>
      <c r="BK111" s="1208">
        <v>5300</v>
      </c>
    </row>
    <row r="112" spans="2:63" ht="15.5" x14ac:dyDescent="0.35">
      <c r="B112" s="965" t="s">
        <v>450</v>
      </c>
      <c r="C112" s="966"/>
      <c r="D112" s="1016"/>
      <c r="E112" s="1016"/>
      <c r="F112" s="1016"/>
      <c r="G112" s="1016">
        <f>8700</f>
        <v>8700</v>
      </c>
      <c r="H112" s="1016"/>
      <c r="I112" s="1015">
        <f t="shared" si="112"/>
        <v>8700</v>
      </c>
      <c r="K112" s="965" t="s">
        <v>449</v>
      </c>
      <c r="L112" s="966"/>
      <c r="M112" s="1016"/>
      <c r="N112" s="1016"/>
      <c r="O112" s="1016"/>
      <c r="P112" s="1016">
        <f>5300-4</f>
        <v>5296</v>
      </c>
      <c r="Q112" s="1016"/>
      <c r="R112" s="1015">
        <f t="shared" si="109"/>
        <v>5296</v>
      </c>
      <c r="T112" s="965" t="s">
        <v>449</v>
      </c>
      <c r="U112" s="966"/>
      <c r="V112" s="1016"/>
      <c r="W112" s="1016"/>
      <c r="X112" s="1016"/>
      <c r="Y112" s="1016">
        <f>5300-4</f>
        <v>5296</v>
      </c>
      <c r="Z112" s="1016"/>
      <c r="AA112" s="1015">
        <f t="shared" si="110"/>
        <v>5296</v>
      </c>
      <c r="AC112" s="965" t="s">
        <v>449</v>
      </c>
      <c r="AD112" s="966"/>
      <c r="AE112" s="1016"/>
      <c r="AF112" s="1016"/>
      <c r="AG112" s="1016"/>
      <c r="AH112" s="1016">
        <f>5300-4</f>
        <v>5296</v>
      </c>
      <c r="AI112" s="1016"/>
      <c r="AJ112" s="1015">
        <f t="shared" si="113"/>
        <v>5296</v>
      </c>
      <c r="AL112" s="965" t="s">
        <v>449</v>
      </c>
      <c r="AM112" s="966"/>
      <c r="AN112" s="1016"/>
      <c r="AO112" s="1016"/>
      <c r="AP112" s="1016"/>
      <c r="AQ112" s="1016">
        <f>5300</f>
        <v>5300</v>
      </c>
      <c r="AR112" s="1016"/>
      <c r="AS112" s="1015">
        <f t="shared" si="114"/>
        <v>5300</v>
      </c>
      <c r="AU112" s="965" t="s">
        <v>810</v>
      </c>
      <c r="AV112" s="1018"/>
      <c r="AW112" s="1204"/>
      <c r="AX112" s="1204"/>
      <c r="AY112" s="1204"/>
      <c r="AZ112" s="1204">
        <f>8000</f>
        <v>8000</v>
      </c>
      <c r="BA112" s="1204"/>
      <c r="BB112" s="1017">
        <f t="shared" si="111"/>
        <v>8000</v>
      </c>
      <c r="BD112" s="965" t="s">
        <v>448</v>
      </c>
      <c r="BE112" s="966"/>
      <c r="BF112" s="1207"/>
      <c r="BG112" s="1207"/>
      <c r="BH112" s="1207"/>
      <c r="BI112" s="1206">
        <v>8000</v>
      </c>
      <c r="BJ112" s="1207"/>
      <c r="BK112" s="1208">
        <v>8000</v>
      </c>
    </row>
    <row r="113" spans="2:63" ht="15.5" x14ac:dyDescent="0.35">
      <c r="B113" s="965" t="s">
        <v>449</v>
      </c>
      <c r="C113" s="966"/>
      <c r="D113" s="1016"/>
      <c r="E113" s="1016"/>
      <c r="F113" s="1016"/>
      <c r="G113" s="1016">
        <f>5300-4</f>
        <v>5296</v>
      </c>
      <c r="H113" s="1016"/>
      <c r="I113" s="1015">
        <f t="shared" si="112"/>
        <v>5296</v>
      </c>
      <c r="K113" s="965" t="s">
        <v>448</v>
      </c>
      <c r="L113" s="966"/>
      <c r="M113" s="1016"/>
      <c r="N113" s="1016"/>
      <c r="O113" s="1016"/>
      <c r="P113" s="1016">
        <f>3100-10</f>
        <v>3090</v>
      </c>
      <c r="Q113" s="1016"/>
      <c r="R113" s="1015">
        <f t="shared" si="109"/>
        <v>3090</v>
      </c>
      <c r="T113" s="965" t="s">
        <v>448</v>
      </c>
      <c r="U113" s="966"/>
      <c r="V113" s="1016"/>
      <c r="W113" s="1016"/>
      <c r="X113" s="1016"/>
      <c r="Y113" s="1016">
        <f>3100-10+2700</f>
        <v>5790</v>
      </c>
      <c r="Z113" s="1016"/>
      <c r="AA113" s="1015">
        <f t="shared" si="110"/>
        <v>5790</v>
      </c>
      <c r="AC113" s="965" t="s">
        <v>448</v>
      </c>
      <c r="AD113" s="966"/>
      <c r="AE113" s="1016"/>
      <c r="AF113" s="1016"/>
      <c r="AG113" s="1016"/>
      <c r="AH113" s="1016">
        <f>3100-10+2700+2200</f>
        <v>7990</v>
      </c>
      <c r="AI113" s="1016"/>
      <c r="AJ113" s="1015">
        <f t="shared" si="113"/>
        <v>7990</v>
      </c>
      <c r="AL113" s="965" t="s">
        <v>448</v>
      </c>
      <c r="AM113" s="966"/>
      <c r="AN113" s="1016"/>
      <c r="AO113" s="1016"/>
      <c r="AP113" s="1016"/>
      <c r="AQ113" s="1016">
        <f>3100+2700+2200</f>
        <v>8000</v>
      </c>
      <c r="AR113" s="1016"/>
      <c r="AS113" s="1015">
        <f t="shared" si="114"/>
        <v>8000</v>
      </c>
      <c r="AU113" s="965" t="s">
        <v>809</v>
      </c>
      <c r="AV113" s="1018"/>
      <c r="AW113" s="1204"/>
      <c r="AX113" s="1204"/>
      <c r="AY113" s="1204"/>
      <c r="AZ113" s="1204">
        <f>3000-8</f>
        <v>2992</v>
      </c>
      <c r="BA113" s="1204"/>
      <c r="BB113" s="1017">
        <f t="shared" si="111"/>
        <v>2992</v>
      </c>
      <c r="BD113" s="965" t="s">
        <v>810</v>
      </c>
      <c r="BE113" s="966"/>
      <c r="BF113" s="1207"/>
      <c r="BG113" s="1207"/>
      <c r="BH113" s="1207"/>
      <c r="BI113" s="1206">
        <v>6388</v>
      </c>
      <c r="BJ113" s="1207"/>
      <c r="BK113" s="1208">
        <v>6388</v>
      </c>
    </row>
    <row r="114" spans="2:63" s="1158" customFormat="1" ht="18.399999999999999" customHeight="1" x14ac:dyDescent="0.35">
      <c r="B114" s="1011" t="s">
        <v>447</v>
      </c>
      <c r="C114" s="1010">
        <f t="shared" ref="C114:I114" si="115">SUM(C94:C113)</f>
        <v>0</v>
      </c>
      <c r="D114" s="1010">
        <f t="shared" si="115"/>
        <v>68382</v>
      </c>
      <c r="E114" s="1010">
        <f t="shared" si="115"/>
        <v>67714</v>
      </c>
      <c r="F114" s="1010">
        <f t="shared" si="115"/>
        <v>116704</v>
      </c>
      <c r="G114" s="1010">
        <f t="shared" si="115"/>
        <v>162772</v>
      </c>
      <c r="H114" s="1010">
        <f t="shared" si="115"/>
        <v>9515</v>
      </c>
      <c r="I114" s="1010">
        <f t="shared" si="115"/>
        <v>425087</v>
      </c>
      <c r="K114" s="1011" t="s">
        <v>447</v>
      </c>
      <c r="L114" s="1010">
        <f>SUM(L93:L110)</f>
        <v>0</v>
      </c>
      <c r="M114" s="1209">
        <f t="shared" ref="M114:R114" si="116">SUM(M93:M113)</f>
        <v>78641</v>
      </c>
      <c r="N114" s="1209">
        <f t="shared" si="116"/>
        <v>70884</v>
      </c>
      <c r="O114" s="1209">
        <f t="shared" si="116"/>
        <v>114296</v>
      </c>
      <c r="P114" s="1209">
        <f t="shared" si="116"/>
        <v>167880</v>
      </c>
      <c r="Q114" s="1209">
        <f t="shared" si="116"/>
        <v>9515</v>
      </c>
      <c r="R114" s="1209">
        <f t="shared" si="116"/>
        <v>441216</v>
      </c>
      <c r="T114" s="1011" t="s">
        <v>447</v>
      </c>
      <c r="U114" s="1010">
        <f>SUM(U93:U110)</f>
        <v>0</v>
      </c>
      <c r="V114" s="1209">
        <f t="shared" ref="V114:AA114" si="117">SUM(V93:V113)</f>
        <v>93430</v>
      </c>
      <c r="W114" s="1209">
        <f t="shared" si="117"/>
        <v>66328</v>
      </c>
      <c r="X114" s="1209">
        <f t="shared" si="117"/>
        <v>122492</v>
      </c>
      <c r="Y114" s="1209">
        <f t="shared" si="117"/>
        <v>171852</v>
      </c>
      <c r="Z114" s="1209">
        <f t="shared" si="117"/>
        <v>9515</v>
      </c>
      <c r="AA114" s="1209">
        <f t="shared" si="117"/>
        <v>463617</v>
      </c>
      <c r="AC114" s="1011" t="s">
        <v>447</v>
      </c>
      <c r="AD114" s="1010">
        <f>SUM(AD94:AD110)</f>
        <v>0</v>
      </c>
      <c r="AE114" s="1010">
        <f t="shared" ref="AE114:AJ114" si="118">SUM(AE94:AE113)</f>
        <v>96834</v>
      </c>
      <c r="AF114" s="1010">
        <f t="shared" si="118"/>
        <v>72108</v>
      </c>
      <c r="AG114" s="1010">
        <f t="shared" si="118"/>
        <v>117982</v>
      </c>
      <c r="AH114" s="1010">
        <f t="shared" si="118"/>
        <v>176801</v>
      </c>
      <c r="AI114" s="1010">
        <f t="shared" si="118"/>
        <v>9515</v>
      </c>
      <c r="AJ114" s="1010">
        <f t="shared" si="118"/>
        <v>473240</v>
      </c>
      <c r="AL114" s="1011" t="s">
        <v>447</v>
      </c>
      <c r="AM114" s="1010">
        <f>SUM(AM94:AM110)</f>
        <v>0</v>
      </c>
      <c r="AN114" s="1010">
        <f t="shared" ref="AN114:AS114" si="119">SUM(AN94:AN113)</f>
        <v>103632</v>
      </c>
      <c r="AO114" s="1010">
        <f t="shared" si="119"/>
        <v>76057</v>
      </c>
      <c r="AP114" s="1010">
        <f t="shared" si="119"/>
        <v>127148</v>
      </c>
      <c r="AQ114" s="1010">
        <f t="shared" si="119"/>
        <v>177519</v>
      </c>
      <c r="AR114" s="1010">
        <f t="shared" si="119"/>
        <v>9515</v>
      </c>
      <c r="AS114" s="1010">
        <f t="shared" si="119"/>
        <v>493871</v>
      </c>
      <c r="AU114" s="967" t="s">
        <v>447</v>
      </c>
      <c r="AV114" s="1210">
        <f t="shared" ref="AV114:BB114" si="120">SUM(AV93:AV113)</f>
        <v>0</v>
      </c>
      <c r="AW114" s="1210">
        <f t="shared" si="120"/>
        <v>95776</v>
      </c>
      <c r="AX114" s="1210">
        <f t="shared" si="120"/>
        <v>79128</v>
      </c>
      <c r="AY114" s="1210">
        <f t="shared" si="120"/>
        <v>132712</v>
      </c>
      <c r="AZ114" s="1210">
        <f t="shared" si="120"/>
        <v>183450</v>
      </c>
      <c r="BA114" s="1210">
        <f t="shared" si="120"/>
        <v>8894</v>
      </c>
      <c r="BB114" s="1210">
        <f t="shared" si="120"/>
        <v>499960</v>
      </c>
      <c r="BD114" s="1011" t="s">
        <v>447</v>
      </c>
      <c r="BE114" s="1010">
        <f>SUM(BE93:BE109)</f>
        <v>0</v>
      </c>
      <c r="BF114" s="1209">
        <v>95058</v>
      </c>
      <c r="BG114" s="1209">
        <v>83329</v>
      </c>
      <c r="BH114" s="1209">
        <v>132369</v>
      </c>
      <c r="BI114" s="1209">
        <v>191587</v>
      </c>
      <c r="BJ114" s="1209">
        <v>8893</v>
      </c>
      <c r="BK114" s="1209">
        <v>511236</v>
      </c>
    </row>
    <row r="115" spans="2:63" ht="15.5" x14ac:dyDescent="0.35">
      <c r="B115" s="1008"/>
      <c r="C115" s="1005"/>
      <c r="D115" s="1005"/>
      <c r="E115" s="1005"/>
      <c r="F115" s="1005"/>
      <c r="G115" s="1006"/>
      <c r="H115" s="1006"/>
      <c r="I115" s="1005"/>
      <c r="K115" s="1008"/>
      <c r="L115" s="1005"/>
      <c r="M115" s="1005"/>
      <c r="N115" s="1005"/>
      <c r="O115" s="1005"/>
      <c r="P115" s="1006"/>
      <c r="Q115" s="1006"/>
      <c r="R115" s="1005"/>
      <c r="T115" s="1008"/>
      <c r="U115" s="1005"/>
      <c r="V115" s="1005"/>
      <c r="W115" s="1005"/>
      <c r="X115" s="1005"/>
      <c r="Y115" s="1006"/>
      <c r="Z115" s="1006"/>
      <c r="AA115" s="1005"/>
      <c r="AC115" s="1008"/>
      <c r="AD115" s="1005"/>
      <c r="AE115" s="1005"/>
      <c r="AF115" s="1005"/>
      <c r="AG115" s="1005"/>
      <c r="AH115" s="1006"/>
      <c r="AI115" s="1006"/>
      <c r="AJ115" s="1005"/>
      <c r="AL115" s="1007"/>
      <c r="AM115" s="1005"/>
      <c r="AN115" s="1005"/>
      <c r="AO115" s="1005"/>
      <c r="AP115" s="1005"/>
      <c r="AQ115" s="1006"/>
      <c r="AR115" s="1006"/>
      <c r="AS115" s="1005"/>
      <c r="AU115" s="964"/>
      <c r="AV115" s="962"/>
      <c r="AW115" s="962"/>
      <c r="AX115" s="962"/>
      <c r="AY115" s="962"/>
      <c r="AZ115" s="963"/>
      <c r="BA115" s="963"/>
      <c r="BB115" s="962"/>
      <c r="BD115" s="1008"/>
      <c r="BE115" s="1005"/>
      <c r="BF115" s="1005"/>
      <c r="BG115" s="1005"/>
      <c r="BH115" s="1005"/>
      <c r="BI115" s="1006"/>
      <c r="BJ115" s="1006"/>
      <c r="BK115" s="1005"/>
    </row>
    <row r="116" spans="2:63" ht="15.5" x14ac:dyDescent="0.35">
      <c r="B116" s="1132" t="s">
        <v>840</v>
      </c>
      <c r="C116" s="992"/>
      <c r="D116" s="992"/>
      <c r="E116" s="992"/>
      <c r="F116" s="992"/>
      <c r="G116" s="992"/>
      <c r="H116" s="992"/>
      <c r="I116" s="992"/>
      <c r="K116" s="1132" t="s">
        <v>839</v>
      </c>
      <c r="L116" s="997"/>
      <c r="M116" s="997"/>
      <c r="N116" s="997"/>
      <c r="O116" s="997"/>
      <c r="P116" s="997"/>
      <c r="Q116" s="997"/>
      <c r="R116" s="997"/>
      <c r="T116" s="1132" t="s">
        <v>838</v>
      </c>
      <c r="U116" s="995"/>
      <c r="V116" s="995"/>
      <c r="W116" s="995"/>
      <c r="X116" s="995"/>
      <c r="Y116" s="995"/>
      <c r="Z116" s="995"/>
      <c r="AA116" s="995"/>
      <c r="AC116" s="1276" t="s">
        <v>837</v>
      </c>
      <c r="AD116" s="1276"/>
      <c r="AE116" s="1276"/>
      <c r="AF116" s="1276"/>
      <c r="AG116" s="1276"/>
      <c r="AH116" s="1276"/>
      <c r="AI116" s="1276"/>
      <c r="AJ116" s="1276"/>
      <c r="AL116" s="1276" t="s">
        <v>836</v>
      </c>
      <c r="AM116" s="1276"/>
      <c r="AN116" s="1276"/>
      <c r="AO116" s="1276"/>
      <c r="AP116" s="1276"/>
      <c r="AQ116" s="1276"/>
      <c r="AR116" s="1276"/>
      <c r="AS116" s="1276"/>
      <c r="AU116" s="1279" t="s">
        <v>808</v>
      </c>
      <c r="AV116" s="1279"/>
      <c r="AW116" s="1279"/>
      <c r="AX116" s="1279"/>
      <c r="AY116" s="1279"/>
      <c r="AZ116" s="1279"/>
      <c r="BA116" s="1279"/>
      <c r="BB116" s="1279"/>
      <c r="BD116" s="1132" t="s">
        <v>906</v>
      </c>
      <c r="BE116" s="992"/>
      <c r="BF116" s="992"/>
      <c r="BG116" s="992"/>
      <c r="BH116" s="992"/>
      <c r="BI116" s="992"/>
      <c r="BJ116" s="992"/>
      <c r="BK116" s="992"/>
    </row>
    <row r="117" spans="2:63" ht="15.5" x14ac:dyDescent="0.35">
      <c r="B117" s="1132"/>
      <c r="C117" s="992"/>
      <c r="D117" s="992"/>
      <c r="E117" s="992"/>
      <c r="F117" s="992"/>
      <c r="G117" s="992"/>
      <c r="H117" s="992"/>
      <c r="I117" s="992"/>
      <c r="K117" s="1132"/>
      <c r="L117" s="997"/>
      <c r="M117" s="997"/>
      <c r="N117" s="997"/>
      <c r="O117" s="997"/>
      <c r="P117" s="997"/>
      <c r="Q117" s="997"/>
      <c r="R117" s="997"/>
      <c r="T117" s="1132"/>
      <c r="U117" s="995"/>
      <c r="V117" s="995"/>
      <c r="W117" s="995"/>
      <c r="X117" s="995"/>
      <c r="Y117" s="995"/>
      <c r="Z117" s="995"/>
      <c r="AA117" s="995"/>
      <c r="AC117" s="994" t="s">
        <v>834</v>
      </c>
      <c r="AD117" s="993"/>
      <c r="AE117" s="993"/>
      <c r="AF117" s="993"/>
      <c r="AG117" s="993"/>
      <c r="AH117" s="1001"/>
      <c r="AI117" s="993"/>
      <c r="AJ117" s="993"/>
      <c r="AL117" s="1277" t="s">
        <v>833</v>
      </c>
      <c r="AM117" s="1277"/>
      <c r="AN117" s="1277"/>
      <c r="AO117" s="1277"/>
      <c r="AP117" s="1277"/>
      <c r="AQ117" s="1277"/>
      <c r="AR117" s="1277"/>
      <c r="AS117" s="1277"/>
      <c r="AU117" s="1280" t="s">
        <v>807</v>
      </c>
      <c r="AV117" s="1280"/>
      <c r="AW117" s="1280"/>
      <c r="AX117" s="1280"/>
      <c r="AY117" s="1280"/>
      <c r="AZ117" s="1280"/>
      <c r="BA117" s="1280"/>
      <c r="BB117" s="1280"/>
      <c r="BD117" s="1133" t="s">
        <v>905</v>
      </c>
      <c r="BE117" s="992"/>
      <c r="BF117" s="992"/>
      <c r="BG117" s="992"/>
      <c r="BH117" s="992"/>
      <c r="BI117" s="999"/>
      <c r="BJ117" s="992"/>
      <c r="BK117" s="992"/>
    </row>
    <row r="118" spans="2:63" ht="15.5" x14ac:dyDescent="0.35">
      <c r="B118" s="1133" t="s">
        <v>816</v>
      </c>
      <c r="C118" s="992"/>
      <c r="D118" s="992"/>
      <c r="E118" s="992"/>
      <c r="F118" s="992"/>
      <c r="G118" s="999"/>
      <c r="H118" s="992"/>
      <c r="I118" s="992"/>
      <c r="K118" s="1133" t="s">
        <v>815</v>
      </c>
      <c r="L118" s="997"/>
      <c r="M118" s="997"/>
      <c r="N118" s="997"/>
      <c r="O118" s="997"/>
      <c r="P118" s="998"/>
      <c r="Q118" s="997"/>
      <c r="R118" s="997"/>
      <c r="T118" s="1133" t="s">
        <v>814</v>
      </c>
      <c r="U118" s="995"/>
      <c r="V118" s="995"/>
      <c r="W118" s="995"/>
      <c r="X118" s="995"/>
      <c r="Y118" s="996"/>
      <c r="Z118" s="995"/>
      <c r="AA118" s="995"/>
      <c r="AC118" s="994" t="s">
        <v>806</v>
      </c>
      <c r="AD118" s="993"/>
      <c r="AE118" s="993"/>
      <c r="AF118" s="993"/>
      <c r="AG118" s="993"/>
      <c r="AH118" s="993"/>
      <c r="AI118" s="993"/>
      <c r="AJ118" s="993"/>
      <c r="AL118" s="1277" t="s">
        <v>813</v>
      </c>
      <c r="AM118" s="1277"/>
      <c r="AN118" s="1277"/>
      <c r="AO118" s="1277"/>
      <c r="AP118" s="1277"/>
      <c r="AQ118" s="1277"/>
      <c r="AR118" s="1277"/>
      <c r="AS118" s="1277"/>
      <c r="AU118" s="1281" t="s">
        <v>806</v>
      </c>
      <c r="AV118" s="1281"/>
      <c r="AW118" s="1281"/>
      <c r="AX118" s="1281"/>
      <c r="AY118" s="1281"/>
      <c r="AZ118" s="1281"/>
      <c r="BA118" s="1281"/>
      <c r="BB118" s="1281"/>
      <c r="BD118" s="1133" t="s">
        <v>806</v>
      </c>
      <c r="BE118" s="992"/>
      <c r="BF118" s="992"/>
      <c r="BG118" s="992"/>
      <c r="BH118" s="992"/>
      <c r="BI118" s="992"/>
      <c r="BJ118" s="992"/>
      <c r="BK118" s="992"/>
    </row>
    <row r="119" spans="2:63" ht="15.5" x14ac:dyDescent="0.35">
      <c r="B119" s="1133" t="s">
        <v>812</v>
      </c>
      <c r="C119" s="992"/>
      <c r="D119" s="992"/>
      <c r="E119" s="992"/>
      <c r="F119" s="992"/>
      <c r="G119" s="992"/>
      <c r="H119" s="992"/>
      <c r="I119" s="992"/>
      <c r="K119" s="1133" t="s">
        <v>812</v>
      </c>
      <c r="L119" s="997"/>
      <c r="M119" s="997"/>
      <c r="N119" s="997"/>
      <c r="O119" s="997"/>
      <c r="P119" s="997"/>
      <c r="Q119" s="997"/>
      <c r="R119" s="997"/>
      <c r="T119" s="1133" t="s">
        <v>812</v>
      </c>
      <c r="U119" s="995"/>
      <c r="V119" s="995"/>
      <c r="W119" s="995"/>
      <c r="X119" s="995"/>
      <c r="Y119" s="995"/>
      <c r="Z119" s="995"/>
      <c r="AA119" s="995"/>
    </row>
  </sheetData>
  <mergeCells count="133">
    <mergeCell ref="AC116:AJ116"/>
    <mergeCell ref="AL89:AS89"/>
    <mergeCell ref="AL90:AS90"/>
    <mergeCell ref="AL116:AS116"/>
    <mergeCell ref="AL117:AS117"/>
    <mergeCell ref="AL118:AS118"/>
    <mergeCell ref="AU89:BB89"/>
    <mergeCell ref="AU90:BB90"/>
    <mergeCell ref="AU116:BB116"/>
    <mergeCell ref="AU117:BB117"/>
    <mergeCell ref="AU118:BB118"/>
    <mergeCell ref="IA47:IH47"/>
    <mergeCell ref="IA48:IH48"/>
    <mergeCell ref="IJ47:IQ47"/>
    <mergeCell ref="IJ48:IQ48"/>
    <mergeCell ref="B89:I89"/>
    <mergeCell ref="B90:I90"/>
    <mergeCell ref="K89:R89"/>
    <mergeCell ref="K90:R90"/>
    <mergeCell ref="T89:AA89"/>
    <mergeCell ref="T90:AA90"/>
    <mergeCell ref="AC89:AJ89"/>
    <mergeCell ref="AC90:AJ90"/>
    <mergeCell ref="GH47:GO47"/>
    <mergeCell ref="GH48:GO48"/>
    <mergeCell ref="GQ47:GX47"/>
    <mergeCell ref="GQ48:GX48"/>
    <mergeCell ref="GZ47:HG47"/>
    <mergeCell ref="GZ48:HG48"/>
    <mergeCell ref="HI47:HP47"/>
    <mergeCell ref="HI48:HP48"/>
    <mergeCell ref="HR47:HY47"/>
    <mergeCell ref="HR48:HY48"/>
    <mergeCell ref="EO47:EV47"/>
    <mergeCell ref="EO48:EV48"/>
    <mergeCell ref="EX47:FE47"/>
    <mergeCell ref="EX48:FE48"/>
    <mergeCell ref="FG47:FN47"/>
    <mergeCell ref="FG48:FN48"/>
    <mergeCell ref="FP47:FW47"/>
    <mergeCell ref="FP48:FW48"/>
    <mergeCell ref="FY47:GF47"/>
    <mergeCell ref="FY48:GF48"/>
    <mergeCell ref="CV47:DC47"/>
    <mergeCell ref="CV48:DC48"/>
    <mergeCell ref="DE47:DL47"/>
    <mergeCell ref="DE48:DL48"/>
    <mergeCell ref="DN47:DU47"/>
    <mergeCell ref="DN48:DU48"/>
    <mergeCell ref="DW47:ED47"/>
    <mergeCell ref="DW48:ED48"/>
    <mergeCell ref="EF47:EM47"/>
    <mergeCell ref="EF48:EM48"/>
    <mergeCell ref="B47:I47"/>
    <mergeCell ref="B48:I48"/>
    <mergeCell ref="K47:R47"/>
    <mergeCell ref="K48:R48"/>
    <mergeCell ref="AU47:BB47"/>
    <mergeCell ref="AU48:BB48"/>
    <mergeCell ref="BD47:BK47"/>
    <mergeCell ref="BD48:BK48"/>
    <mergeCell ref="T47:AA47"/>
    <mergeCell ref="T48:AA48"/>
    <mergeCell ref="AC47:AJ47"/>
    <mergeCell ref="AC48:AJ48"/>
    <mergeCell ref="AL47:AS47"/>
    <mergeCell ref="AL48:AS48"/>
    <mergeCell ref="GZ2:HG2"/>
    <mergeCell ref="GZ3:HG3"/>
    <mergeCell ref="HI2:HP2"/>
    <mergeCell ref="HI3:HP3"/>
    <mergeCell ref="HR2:HY2"/>
    <mergeCell ref="HR3:HY3"/>
    <mergeCell ref="IA2:IH2"/>
    <mergeCell ref="IA3:IH3"/>
    <mergeCell ref="IJ2:IQ2"/>
    <mergeCell ref="IJ3:IQ3"/>
    <mergeCell ref="FG2:FN2"/>
    <mergeCell ref="FG3:FN3"/>
    <mergeCell ref="FP2:FW2"/>
    <mergeCell ref="FP3:FW3"/>
    <mergeCell ref="FY2:GF2"/>
    <mergeCell ref="FY3:GF3"/>
    <mergeCell ref="GH2:GO2"/>
    <mergeCell ref="GH3:GO3"/>
    <mergeCell ref="GQ2:GX2"/>
    <mergeCell ref="GQ3:GX3"/>
    <mergeCell ref="AC2:AJ2"/>
    <mergeCell ref="AC3:AJ3"/>
    <mergeCell ref="AL2:AS2"/>
    <mergeCell ref="AL3:AS3"/>
    <mergeCell ref="AU2:BB2"/>
    <mergeCell ref="AU3:BB3"/>
    <mergeCell ref="B2:I2"/>
    <mergeCell ref="B3:I3"/>
    <mergeCell ref="K2:R2"/>
    <mergeCell ref="K3:R3"/>
    <mergeCell ref="T2:AA2"/>
    <mergeCell ref="T3:AA3"/>
    <mergeCell ref="EX2:FE2"/>
    <mergeCell ref="EX3:FE3"/>
    <mergeCell ref="DE2:DL2"/>
    <mergeCell ref="DE3:DL3"/>
    <mergeCell ref="DN2:DU2"/>
    <mergeCell ref="DN3:DU3"/>
    <mergeCell ref="DW2:ED2"/>
    <mergeCell ref="DW3:ED3"/>
    <mergeCell ref="CV2:DC2"/>
    <mergeCell ref="CV3:DC3"/>
    <mergeCell ref="BD89:BK89"/>
    <mergeCell ref="BD90:BK90"/>
    <mergeCell ref="EF2:EM2"/>
    <mergeCell ref="EF3:EM3"/>
    <mergeCell ref="EO2:EV2"/>
    <mergeCell ref="EO3:EV3"/>
    <mergeCell ref="CD2:CK2"/>
    <mergeCell ref="CD3:CK3"/>
    <mergeCell ref="CM2:CT2"/>
    <mergeCell ref="CM3:CT3"/>
    <mergeCell ref="BD2:BK2"/>
    <mergeCell ref="BD3:BK3"/>
    <mergeCell ref="BL2:BS2"/>
    <mergeCell ref="BL3:BS3"/>
    <mergeCell ref="BU2:CB2"/>
    <mergeCell ref="BU3:CB3"/>
    <mergeCell ref="BL47:BS47"/>
    <mergeCell ref="BL48:BS48"/>
    <mergeCell ref="BU47:CB47"/>
    <mergeCell ref="BU48:CB48"/>
    <mergeCell ref="CD47:CK47"/>
    <mergeCell ref="CD48:CK48"/>
    <mergeCell ref="CM47:CT47"/>
    <mergeCell ref="CM48:CT48"/>
  </mergeCells>
  <pageMargins left="0.48" right="0.33" top="0.48" bottom="0.45" header="0.3" footer="0.3"/>
  <pageSetup orientation="landscape" r:id="rId1"/>
  <colBreaks count="1" manualBreakCount="1">
    <brk id="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B49"/>
  <sheetViews>
    <sheetView showGridLines="0" zoomScale="110" zoomScaleNormal="110" zoomScaleSheetLayoutView="130" workbookViewId="0">
      <pane xSplit="247" ySplit="6" topLeftCell="IT7" activePane="bottomRight" state="frozen"/>
      <selection pane="topRight" activeCell="IN1" sqref="IN1"/>
      <selection pane="bottomLeft" activeCell="A7" sqref="A7"/>
      <selection pane="bottomRight" activeCell="IU38" sqref="IU38"/>
    </sheetView>
  </sheetViews>
  <sheetFormatPr defaultColWidth="8.6328125" defaultRowHeight="14.5" x14ac:dyDescent="0.35"/>
  <cols>
    <col min="1" max="1" width="33.08984375" style="103" customWidth="1"/>
    <col min="2" max="65" width="9.08984375" style="103" hidden="1" customWidth="1"/>
    <col min="66" max="66" width="13.453125" style="103" hidden="1" customWidth="1"/>
    <col min="67" max="67" width="9.90625" style="103" hidden="1" customWidth="1"/>
    <col min="68" max="68" width="9.08984375" style="103" hidden="1" customWidth="1"/>
    <col min="69" max="69" width="11.453125" style="103" hidden="1" customWidth="1"/>
    <col min="70" max="71" width="9.08984375" style="103" hidden="1" customWidth="1"/>
    <col min="72" max="72" width="11.453125" style="103" hidden="1" customWidth="1"/>
    <col min="73" max="74" width="9.08984375" style="103" hidden="1" customWidth="1"/>
    <col min="75" max="75" width="11.453125" style="103" hidden="1" customWidth="1"/>
    <col min="76" max="77" width="9.08984375" style="103" hidden="1" customWidth="1"/>
    <col min="78" max="78" width="11.453125" style="103" hidden="1" customWidth="1"/>
    <col min="79" max="80" width="9.08984375" style="103" hidden="1" customWidth="1"/>
    <col min="81" max="81" width="11.453125" style="103" hidden="1" customWidth="1"/>
    <col min="82" max="83" width="9.08984375" style="103" hidden="1" customWidth="1"/>
    <col min="84" max="84" width="11.453125" style="103" hidden="1" customWidth="1"/>
    <col min="85" max="86" width="9.08984375" style="103" hidden="1" customWidth="1"/>
    <col min="87" max="87" width="9.453125" style="103" hidden="1" customWidth="1"/>
    <col min="88" max="96" width="9.08984375" style="103" hidden="1" customWidth="1"/>
    <col min="97" max="97" width="6.08984375" style="103" hidden="1" customWidth="1"/>
    <col min="98" max="99" width="9.08984375" style="103" hidden="1" customWidth="1"/>
    <col min="100" max="100" width="6.453125" style="103" hidden="1" customWidth="1"/>
    <col min="101" max="102" width="9.08984375" style="103" hidden="1" customWidth="1"/>
    <col min="103" max="103" width="6.453125" style="103" hidden="1" customWidth="1"/>
    <col min="104" max="104" width="9.08984375" style="103" hidden="1" customWidth="1"/>
    <col min="105" max="105" width="10" style="103" hidden="1" customWidth="1"/>
    <col min="106" max="106" width="6.90625" style="103" hidden="1" customWidth="1"/>
    <col min="107" max="107" width="8.453125" style="103" hidden="1" customWidth="1"/>
    <col min="108" max="108" width="9.453125" style="103" hidden="1" customWidth="1"/>
    <col min="109" max="109" width="6.36328125" style="103" hidden="1" customWidth="1"/>
    <col min="110" max="110" width="8.453125" style="103" hidden="1" customWidth="1"/>
    <col min="111" max="111" width="9.36328125" style="103" hidden="1" customWidth="1"/>
    <col min="112" max="112" width="7" style="103" hidden="1" customWidth="1"/>
    <col min="113" max="113" width="8.453125" style="103" hidden="1" customWidth="1"/>
    <col min="114" max="114" width="9" style="103" hidden="1" customWidth="1"/>
    <col min="115" max="115" width="7.6328125" style="103" hidden="1" customWidth="1"/>
    <col min="116" max="116" width="8.453125" style="103" hidden="1" customWidth="1"/>
    <col min="117" max="117" width="8.90625" style="103" hidden="1" customWidth="1"/>
    <col min="118" max="118" width="7.453125" style="103" hidden="1" customWidth="1"/>
    <col min="119" max="119" width="8.453125" style="103" hidden="1" customWidth="1"/>
    <col min="120" max="120" width="8.90625" style="103" hidden="1" customWidth="1"/>
    <col min="121" max="121" width="7.453125" style="103" hidden="1" customWidth="1"/>
    <col min="122" max="122" width="8.453125" style="103" hidden="1" customWidth="1"/>
    <col min="123" max="123" width="9.453125" style="103" hidden="1" customWidth="1"/>
    <col min="124" max="124" width="7.453125" style="103" hidden="1" customWidth="1"/>
    <col min="125" max="130" width="9.08984375" style="103" hidden="1" customWidth="1"/>
    <col min="131" max="131" width="7.90625" style="103" hidden="1" customWidth="1"/>
    <col min="132" max="132" width="7.453125" style="103" hidden="1" customWidth="1"/>
    <col min="133" max="133" width="5.90625" style="103" hidden="1" customWidth="1"/>
    <col min="134" max="135" width="7.6328125" style="103" hidden="1" customWidth="1"/>
    <col min="136" max="136" width="6.08984375" style="103" hidden="1" customWidth="1"/>
    <col min="137" max="137" width="7.08984375" style="103" hidden="1" customWidth="1"/>
    <col min="138" max="138" width="7.6328125" style="103" hidden="1" customWidth="1"/>
    <col min="139" max="139" width="6.36328125" style="103" hidden="1" customWidth="1"/>
    <col min="140" max="140" width="7.453125" style="103" hidden="1" customWidth="1"/>
    <col min="141" max="141" width="8.08984375" style="103" hidden="1" customWidth="1"/>
    <col min="142" max="142" width="6" style="103" hidden="1" customWidth="1"/>
    <col min="143" max="143" width="8.08984375" style="103" hidden="1" customWidth="1"/>
    <col min="144" max="144" width="7.90625" style="103" hidden="1" customWidth="1"/>
    <col min="145" max="145" width="5.453125" style="103" hidden="1" customWidth="1"/>
    <col min="146" max="146" width="7.6328125" style="103" hidden="1" customWidth="1"/>
    <col min="147" max="147" width="8.08984375" style="103" hidden="1" customWidth="1"/>
    <col min="148" max="148" width="6.36328125" style="103" hidden="1" customWidth="1"/>
    <col min="149" max="149" width="7.453125" style="103" hidden="1" customWidth="1"/>
    <col min="150" max="150" width="8.453125" style="103" hidden="1" customWidth="1"/>
    <col min="151" max="151" width="6.36328125" style="103" hidden="1" customWidth="1"/>
    <col min="152" max="152" width="7.6328125" style="103" hidden="1" customWidth="1"/>
    <col min="153" max="153" width="8.08984375" style="103" hidden="1" customWidth="1"/>
    <col min="154" max="154" width="6.08984375" style="103" hidden="1" customWidth="1"/>
    <col min="155" max="155" width="8" style="103" hidden="1" customWidth="1"/>
    <col min="156" max="156" width="8.08984375" style="103" hidden="1" customWidth="1"/>
    <col min="157" max="157" width="6.36328125" style="103" hidden="1" customWidth="1"/>
    <col min="158" max="158" width="7.6328125" style="103" hidden="1" customWidth="1"/>
    <col min="159" max="159" width="8.08984375" style="103" hidden="1" customWidth="1"/>
    <col min="160" max="160" width="6.36328125" style="103" hidden="1" customWidth="1"/>
    <col min="161" max="161" width="8" style="103" hidden="1" customWidth="1"/>
    <col min="162" max="162" width="8.36328125" style="103" hidden="1" customWidth="1"/>
    <col min="163" max="163" width="6.36328125" style="103" hidden="1" customWidth="1"/>
    <col min="164" max="164" width="7.6328125" style="103" hidden="1" customWidth="1"/>
    <col min="165" max="165" width="8.08984375" style="103" hidden="1" customWidth="1"/>
    <col min="166" max="166" width="6.36328125" style="103" hidden="1" customWidth="1"/>
    <col min="167" max="167" width="7.6328125" style="103" hidden="1" customWidth="1"/>
    <col min="168" max="168" width="8" style="103" hidden="1" customWidth="1"/>
    <col min="169" max="169" width="6.36328125" style="103" hidden="1" customWidth="1"/>
    <col min="170" max="170" width="7.90625" style="103" hidden="1" customWidth="1"/>
    <col min="171" max="171" width="8.36328125" style="103" hidden="1" customWidth="1"/>
    <col min="172" max="172" width="6" style="103" hidden="1" customWidth="1"/>
    <col min="173" max="173" width="7.6328125" style="103" hidden="1" customWidth="1"/>
    <col min="174" max="174" width="8.08984375" style="103" hidden="1" customWidth="1"/>
    <col min="175" max="175" width="5.90625" style="103" hidden="1" customWidth="1"/>
    <col min="176" max="176" width="8" style="103" hidden="1" customWidth="1"/>
    <col min="177" max="177" width="8.453125" style="103" hidden="1" customWidth="1"/>
    <col min="178" max="178" width="5.90625" style="103" hidden="1" customWidth="1"/>
    <col min="179" max="179" width="8.36328125" style="103" hidden="1" customWidth="1"/>
    <col min="180" max="180" width="8.08984375" style="103" hidden="1" customWidth="1"/>
    <col min="181" max="181" width="6" style="103" hidden="1" customWidth="1"/>
    <col min="182" max="182" width="8" style="103" hidden="1" customWidth="1"/>
    <col min="183" max="183" width="7.6328125" style="103" hidden="1" customWidth="1"/>
    <col min="184" max="184" width="5.6328125" style="103" hidden="1" customWidth="1"/>
    <col min="185" max="185" width="7.6328125" style="103" hidden="1" customWidth="1"/>
    <col min="186" max="186" width="8" style="103" hidden="1" customWidth="1"/>
    <col min="187" max="187" width="6.36328125" style="103" hidden="1" customWidth="1"/>
    <col min="188" max="188" width="7.453125" style="103" hidden="1" customWidth="1"/>
    <col min="189" max="189" width="8.08984375" style="103" hidden="1" customWidth="1"/>
    <col min="190" max="190" width="6.08984375" style="103" hidden="1" customWidth="1"/>
    <col min="191" max="191" width="8.08984375" style="103" hidden="1" customWidth="1"/>
    <col min="192" max="192" width="8.36328125" style="103" hidden="1" customWidth="1"/>
    <col min="193" max="193" width="6.08984375" style="103" hidden="1" customWidth="1"/>
    <col min="194" max="194" width="8.08984375" style="103" hidden="1" customWidth="1"/>
    <col min="195" max="195" width="8.6328125" style="103" hidden="1" customWidth="1"/>
    <col min="196" max="196" width="6.453125" style="103" hidden="1" customWidth="1"/>
    <col min="197" max="198" width="8.453125" style="103" hidden="1" customWidth="1"/>
    <col min="199" max="199" width="5.453125" style="103" hidden="1" customWidth="1"/>
    <col min="200" max="200" width="8.6328125" style="103" hidden="1" customWidth="1"/>
    <col min="201" max="201" width="8.453125" style="103" hidden="1" customWidth="1"/>
    <col min="202" max="202" width="6" style="103" hidden="1" customWidth="1"/>
    <col min="203" max="203" width="8" style="103" hidden="1" customWidth="1"/>
    <col min="204" max="204" width="8.36328125" style="103" hidden="1" customWidth="1"/>
    <col min="205" max="205" width="5.90625" style="103" hidden="1" customWidth="1"/>
    <col min="206" max="207" width="9.08984375" style="103" hidden="1" customWidth="1"/>
    <col min="208" max="208" width="5.453125" style="103" hidden="1" customWidth="1"/>
    <col min="209" max="209" width="8.36328125" style="103" hidden="1" customWidth="1"/>
    <col min="210" max="210" width="9" style="103" hidden="1" customWidth="1"/>
    <col min="211" max="211" width="5.453125" style="103" hidden="1" customWidth="1"/>
    <col min="212" max="212" width="8.08984375" style="103" hidden="1" customWidth="1"/>
    <col min="213" max="213" width="8.453125" style="103" hidden="1" customWidth="1"/>
    <col min="214" max="214" width="5.6328125" style="103" hidden="1" customWidth="1"/>
    <col min="215" max="216" width="8.6328125" style="103" hidden="1" customWidth="1"/>
    <col min="217" max="217" width="5.6328125" style="103" hidden="1" customWidth="1"/>
    <col min="218" max="218" width="8.36328125" style="103" hidden="1" customWidth="1"/>
    <col min="219" max="219" width="8.6328125" style="103" hidden="1" customWidth="1"/>
    <col min="220" max="220" width="6" style="103" hidden="1" customWidth="1"/>
    <col min="221" max="221" width="8.36328125" style="103" hidden="1" customWidth="1"/>
    <col min="222" max="222" width="8.453125" style="103" hidden="1" customWidth="1"/>
    <col min="223" max="223" width="6.08984375" style="103" hidden="1" customWidth="1"/>
    <col min="224" max="224" width="8.6328125" style="103" hidden="1" customWidth="1"/>
    <col min="225" max="225" width="8.90625" style="103" hidden="1" customWidth="1"/>
    <col min="226" max="226" width="6.08984375" style="103" hidden="1" customWidth="1"/>
    <col min="227" max="228" width="8.453125" style="103" hidden="1" customWidth="1"/>
    <col min="229" max="229" width="5.90625" style="103" hidden="1" customWidth="1"/>
    <col min="230" max="230" width="8.90625" style="103" hidden="1" customWidth="1"/>
    <col min="231" max="231" width="9" style="103" hidden="1" customWidth="1"/>
    <col min="232" max="232" width="6.453125" style="103" hidden="1" customWidth="1"/>
    <col min="233" max="233" width="8.36328125" style="103" hidden="1" customWidth="1"/>
    <col min="234" max="234" width="8.453125" style="103" hidden="1" customWidth="1"/>
    <col min="235" max="235" width="6.453125" style="103" hidden="1" customWidth="1"/>
    <col min="236" max="236" width="8.36328125" style="103" hidden="1" customWidth="1"/>
    <col min="237" max="237" width="8.453125" style="103" hidden="1" customWidth="1"/>
    <col min="238" max="238" width="4.453125" style="103" hidden="1" customWidth="1"/>
    <col min="239" max="239" width="9.36328125" style="103" hidden="1" customWidth="1"/>
    <col min="240" max="240" width="8.453125" style="103" hidden="1" customWidth="1"/>
    <col min="241" max="241" width="6" style="103" hidden="1" customWidth="1"/>
    <col min="242" max="242" width="8.90625" style="103" hidden="1" customWidth="1"/>
    <col min="243" max="243" width="8.453125" style="103" hidden="1" customWidth="1"/>
    <col min="244" max="244" width="7.6328125" style="103" hidden="1" customWidth="1"/>
    <col min="245" max="245" width="9" style="103" hidden="1" customWidth="1"/>
    <col min="246" max="246" width="8.453125" style="103" hidden="1" customWidth="1"/>
    <col min="247" max="248" width="9" style="103" hidden="1" customWidth="1"/>
    <col min="249" max="249" width="8.453125" style="103" hidden="1" customWidth="1"/>
    <col min="250" max="250" width="8.6328125" style="103" hidden="1" customWidth="1"/>
    <col min="251" max="251" width="9" style="103" hidden="1" customWidth="1"/>
    <col min="252" max="252" width="8.453125" style="103" hidden="1" customWidth="1"/>
    <col min="253" max="253" width="8.6328125" style="103" hidden="1" customWidth="1"/>
    <col min="254" max="254" width="9" style="103" customWidth="1"/>
    <col min="255" max="255" width="8.453125" style="103" customWidth="1"/>
    <col min="256" max="256" width="8.6328125" style="103"/>
    <col min="257" max="257" width="9" style="103" customWidth="1"/>
    <col min="258" max="258" width="8.453125" style="103" customWidth="1"/>
    <col min="259" max="259" width="8.6328125" style="103"/>
    <col min="260" max="260" width="9" style="103" customWidth="1"/>
    <col min="261" max="261" width="8.453125" style="103" customWidth="1"/>
    <col min="262" max="16384" width="8.6328125" style="103"/>
  </cols>
  <sheetData>
    <row r="1" spans="1:262" s="413" customFormat="1" ht="31.75" customHeight="1" x14ac:dyDescent="0.35">
      <c r="A1" s="1282" t="s">
        <v>513</v>
      </c>
      <c r="B1" s="1282"/>
      <c r="C1" s="1282"/>
      <c r="D1" s="1282"/>
      <c r="E1" s="1282"/>
      <c r="F1" s="1282"/>
      <c r="G1" s="1282"/>
      <c r="H1" s="1282"/>
      <c r="I1" s="1282"/>
      <c r="J1" s="1282"/>
      <c r="K1" s="1282"/>
      <c r="L1" s="1282"/>
      <c r="M1" s="1282"/>
      <c r="N1" s="1282"/>
      <c r="O1" s="1282"/>
      <c r="P1" s="1282"/>
      <c r="Q1" s="1282"/>
      <c r="R1" s="1282"/>
      <c r="S1" s="1282"/>
      <c r="T1" s="1282"/>
      <c r="U1" s="1282"/>
      <c r="V1" s="1282"/>
      <c r="W1" s="1282"/>
      <c r="X1" s="1282"/>
      <c r="Y1" s="1282"/>
      <c r="Z1" s="1282"/>
      <c r="AA1" s="1282"/>
      <c r="AB1" s="1282"/>
      <c r="AC1" s="1282"/>
      <c r="AD1" s="1282"/>
      <c r="AE1" s="1282"/>
      <c r="AF1" s="1282"/>
      <c r="AG1" s="1282"/>
      <c r="AH1" s="1282"/>
      <c r="AI1" s="1282"/>
      <c r="AJ1" s="1282"/>
      <c r="AK1" s="1282"/>
      <c r="AL1" s="1282"/>
      <c r="AM1" s="1282"/>
      <c r="AN1" s="1282"/>
      <c r="AO1" s="1282"/>
      <c r="AP1" s="1282"/>
      <c r="AQ1" s="1282"/>
      <c r="AR1" s="1282"/>
      <c r="AS1" s="1282"/>
      <c r="AT1" s="1282"/>
      <c r="AU1" s="1282"/>
      <c r="AV1" s="1282"/>
      <c r="AW1" s="1282"/>
      <c r="AX1" s="1282"/>
      <c r="AY1" s="1282"/>
      <c r="AZ1" s="1282"/>
      <c r="BA1" s="1282"/>
      <c r="BB1" s="1282"/>
      <c r="BC1" s="1282"/>
      <c r="BD1" s="1282"/>
      <c r="BE1" s="1282"/>
      <c r="BF1" s="1282"/>
      <c r="BG1" s="1282"/>
      <c r="BH1" s="1282"/>
      <c r="BI1" s="1282"/>
      <c r="BJ1" s="1282"/>
      <c r="BK1" s="1282"/>
      <c r="BL1" s="1282"/>
      <c r="BM1" s="1282"/>
      <c r="BN1" s="1282"/>
      <c r="BO1" s="1282"/>
      <c r="BP1" s="1282"/>
      <c r="BQ1" s="1282"/>
      <c r="BR1" s="1282"/>
      <c r="BS1" s="1282"/>
      <c r="BT1" s="1282"/>
      <c r="BU1" s="1282"/>
      <c r="BV1" s="1282"/>
      <c r="BW1" s="1282"/>
      <c r="BX1" s="1282"/>
      <c r="BY1" s="1282"/>
      <c r="BZ1" s="1282"/>
      <c r="CA1" s="1282"/>
      <c r="CB1" s="1282"/>
      <c r="CC1" s="1282"/>
      <c r="CD1" s="1282"/>
      <c r="CE1" s="1282"/>
      <c r="CF1" s="1282"/>
      <c r="CG1" s="1282"/>
      <c r="CH1" s="1282"/>
      <c r="CI1" s="1282"/>
      <c r="CJ1" s="1282"/>
      <c r="CK1" s="1282"/>
      <c r="CL1" s="1282"/>
      <c r="CM1" s="1282"/>
      <c r="CN1" s="1282"/>
      <c r="CO1" s="1282"/>
      <c r="CP1" s="1282"/>
      <c r="CQ1" s="1282"/>
      <c r="CR1" s="1282"/>
      <c r="CS1" s="1282"/>
      <c r="CT1" s="1282"/>
      <c r="CU1" s="1282"/>
      <c r="CV1" s="1282"/>
      <c r="CW1" s="1282"/>
      <c r="CX1" s="1282"/>
      <c r="CY1" s="1282"/>
      <c r="CZ1" s="1282"/>
      <c r="DA1" s="1282"/>
      <c r="DB1" s="1282"/>
      <c r="DC1" s="1282"/>
      <c r="DD1" s="1282"/>
      <c r="DE1" s="1282"/>
      <c r="DF1" s="1282"/>
      <c r="DG1" s="1282"/>
      <c r="DH1" s="1282"/>
      <c r="DI1" s="1282"/>
      <c r="DJ1" s="1282"/>
      <c r="DK1" s="1282"/>
      <c r="DL1" s="1282"/>
      <c r="DM1" s="1282"/>
      <c r="DN1" s="1282"/>
      <c r="DO1" s="1282"/>
      <c r="DP1" s="1282"/>
      <c r="DQ1" s="1282"/>
      <c r="DR1" s="1282"/>
      <c r="DS1" s="1282"/>
      <c r="DT1" s="1282"/>
      <c r="DU1" s="1282"/>
      <c r="DV1" s="1282"/>
      <c r="DW1" s="1282"/>
      <c r="DX1" s="1282"/>
      <c r="DY1" s="1282"/>
      <c r="DZ1" s="1282"/>
      <c r="EA1" s="1282"/>
      <c r="EB1" s="1282"/>
      <c r="EC1" s="1282"/>
      <c r="ED1" s="1282"/>
      <c r="EE1" s="1282"/>
      <c r="EF1" s="1282"/>
      <c r="EG1" s="1282"/>
      <c r="EH1" s="1282"/>
      <c r="EI1" s="1282"/>
      <c r="EJ1" s="1282"/>
      <c r="EK1" s="1282"/>
      <c r="EL1" s="1282"/>
      <c r="EM1" s="1282"/>
      <c r="EN1" s="1282"/>
      <c r="EO1" s="1282"/>
      <c r="EP1" s="1282"/>
      <c r="EQ1" s="1282"/>
      <c r="ER1" s="1282"/>
      <c r="ES1" s="1282"/>
      <c r="ET1" s="1282"/>
      <c r="EU1" s="1282"/>
      <c r="EV1" s="1282"/>
      <c r="EW1" s="1282"/>
      <c r="EX1" s="1282"/>
      <c r="EY1" s="1282"/>
      <c r="EZ1" s="1282"/>
      <c r="FA1" s="1282"/>
      <c r="FB1" s="1282"/>
      <c r="FC1" s="1282"/>
      <c r="FD1" s="1282"/>
      <c r="FE1" s="1282"/>
      <c r="FF1" s="1282"/>
      <c r="FG1" s="1282"/>
      <c r="FH1" s="1282"/>
      <c r="FI1" s="1282"/>
      <c r="FJ1" s="1282"/>
      <c r="FK1" s="1282"/>
      <c r="FL1" s="1282"/>
      <c r="FM1" s="1282"/>
      <c r="FN1" s="1282"/>
      <c r="FO1" s="1282"/>
      <c r="FP1" s="1282"/>
      <c r="FQ1" s="1282"/>
      <c r="FR1" s="1282"/>
      <c r="FS1" s="1282"/>
      <c r="FT1" s="1282"/>
      <c r="FU1" s="1282"/>
      <c r="FV1" s="1282"/>
      <c r="FW1" s="1282"/>
      <c r="FX1" s="1282"/>
      <c r="FY1" s="1282"/>
      <c r="FZ1" s="1282"/>
      <c r="GA1" s="1282"/>
      <c r="GB1" s="1282"/>
      <c r="GC1" s="1282"/>
      <c r="GD1" s="1282"/>
      <c r="GE1" s="1282"/>
      <c r="GF1" s="1282"/>
      <c r="GG1" s="1282"/>
      <c r="GH1" s="1282"/>
      <c r="GI1" s="1282"/>
      <c r="GJ1" s="1282"/>
      <c r="GK1" s="1282"/>
      <c r="GL1" s="1282"/>
      <c r="GM1" s="1282"/>
      <c r="GN1" s="1282"/>
      <c r="GO1" s="1282"/>
      <c r="GP1" s="1282"/>
      <c r="GQ1" s="1282"/>
      <c r="GR1" s="1282"/>
      <c r="GS1" s="1282"/>
      <c r="GT1" s="1282"/>
      <c r="GU1" s="1282"/>
      <c r="GV1" s="1282"/>
      <c r="GW1" s="1282"/>
      <c r="GX1" s="1282"/>
      <c r="GY1" s="1282"/>
      <c r="GZ1" s="1282"/>
      <c r="HA1" s="1282"/>
      <c r="HB1" s="1282"/>
      <c r="HC1" s="1282"/>
      <c r="HD1" s="1282"/>
      <c r="HE1" s="1282"/>
      <c r="HF1" s="1282"/>
      <c r="HG1" s="1282"/>
      <c r="HH1" s="1282"/>
      <c r="HI1" s="1282"/>
      <c r="HJ1" s="1282"/>
      <c r="HK1" s="1282"/>
      <c r="HL1" s="1282"/>
      <c r="HM1" s="1282"/>
      <c r="HN1" s="1282"/>
      <c r="HO1" s="1282"/>
      <c r="HP1" s="1282"/>
      <c r="HQ1" s="1282"/>
      <c r="HR1" s="1282"/>
      <c r="HS1" s="1282"/>
      <c r="HT1" s="1282"/>
      <c r="HU1" s="1282"/>
      <c r="HV1" s="1282"/>
      <c r="HW1" s="1282"/>
      <c r="HX1" s="1282"/>
      <c r="HY1" s="1282"/>
      <c r="HZ1" s="1282"/>
      <c r="IA1" s="1282"/>
      <c r="IB1" s="1282"/>
      <c r="IC1" s="1282"/>
      <c r="ID1" s="1282"/>
      <c r="IE1" s="1282"/>
      <c r="IF1" s="1282"/>
      <c r="IG1" s="1282"/>
      <c r="IH1" s="1282"/>
      <c r="II1" s="1282"/>
      <c r="IJ1" s="1282"/>
      <c r="IK1" s="1282"/>
      <c r="IL1" s="1282"/>
      <c r="IM1" s="1282"/>
      <c r="IN1" s="1282"/>
      <c r="IO1" s="1282"/>
      <c r="IP1" s="1282"/>
      <c r="IQ1" s="1282"/>
      <c r="IR1" s="1282"/>
      <c r="IS1" s="1282"/>
      <c r="IT1" s="1282"/>
      <c r="IU1" s="1282"/>
      <c r="IV1" s="1282"/>
      <c r="IW1" s="1282"/>
      <c r="IX1" s="1282"/>
      <c r="IY1" s="1282"/>
      <c r="IZ1" s="1282"/>
      <c r="JA1" s="1282"/>
      <c r="JB1" s="1282"/>
    </row>
    <row r="2" spans="1:262" s="412" customFormat="1" ht="15.75" customHeight="1" x14ac:dyDescent="0.3">
      <c r="A2" s="1283" t="s">
        <v>512</v>
      </c>
      <c r="B2" s="1283"/>
      <c r="C2" s="1283"/>
      <c r="D2" s="1283"/>
      <c r="E2" s="1283"/>
      <c r="F2" s="1283"/>
      <c r="G2" s="1283"/>
      <c r="H2" s="1283"/>
      <c r="I2" s="1283"/>
      <c r="J2" s="1283"/>
      <c r="K2" s="1283"/>
      <c r="L2" s="1283"/>
      <c r="M2" s="1283"/>
      <c r="N2" s="1283"/>
      <c r="O2" s="1283"/>
      <c r="P2" s="1283"/>
      <c r="Q2" s="1283"/>
      <c r="R2" s="1283"/>
      <c r="S2" s="1283"/>
      <c r="T2" s="1283"/>
      <c r="U2" s="1283"/>
      <c r="V2" s="1283"/>
      <c r="W2" s="1283"/>
      <c r="X2" s="1283"/>
      <c r="Y2" s="1283"/>
      <c r="Z2" s="1283"/>
      <c r="AA2" s="1283"/>
      <c r="AB2" s="1283"/>
      <c r="AC2" s="1283"/>
      <c r="AD2" s="1283"/>
      <c r="AE2" s="1283"/>
      <c r="AF2" s="1283"/>
      <c r="AG2" s="1283"/>
      <c r="AH2" s="1283"/>
      <c r="AI2" s="1283"/>
      <c r="AJ2" s="1283"/>
      <c r="AK2" s="1283"/>
      <c r="AL2" s="1283"/>
      <c r="AM2" s="1283"/>
      <c r="AN2" s="1283"/>
      <c r="AO2" s="1283"/>
      <c r="AP2" s="1283"/>
      <c r="AQ2" s="1283"/>
      <c r="AR2" s="1283"/>
      <c r="AS2" s="1283"/>
      <c r="AT2" s="1283"/>
      <c r="AU2" s="1283"/>
      <c r="AV2" s="1283"/>
      <c r="AW2" s="1283"/>
      <c r="AX2" s="1283"/>
      <c r="AY2" s="1283"/>
      <c r="AZ2" s="1283"/>
      <c r="BA2" s="1283"/>
      <c r="BB2" s="1283"/>
      <c r="BC2" s="1283"/>
      <c r="BD2" s="1283"/>
      <c r="BE2" s="1283"/>
      <c r="BF2" s="1283"/>
      <c r="BG2" s="1283"/>
      <c r="BH2" s="1283"/>
      <c r="BI2" s="1283"/>
      <c r="BJ2" s="1283"/>
      <c r="BK2" s="1283"/>
      <c r="BL2" s="1283"/>
      <c r="BM2" s="1283"/>
      <c r="BN2" s="1283"/>
      <c r="BO2" s="1283"/>
      <c r="BP2" s="1283"/>
      <c r="BQ2" s="1283"/>
      <c r="BR2" s="1283"/>
      <c r="BS2" s="1283"/>
      <c r="BT2" s="1283"/>
      <c r="BU2" s="1283"/>
      <c r="BV2" s="1283"/>
      <c r="BW2" s="1283"/>
      <c r="BX2" s="1283"/>
      <c r="BY2" s="1283"/>
      <c r="BZ2" s="1283"/>
      <c r="CA2" s="1283"/>
      <c r="CB2" s="1283"/>
      <c r="CC2" s="1283"/>
      <c r="CD2" s="1283"/>
      <c r="CE2" s="1283"/>
      <c r="CF2" s="1283"/>
      <c r="CG2" s="1283"/>
      <c r="CH2" s="1283"/>
      <c r="CI2" s="1283"/>
      <c r="CJ2" s="1283"/>
      <c r="CK2" s="1283"/>
      <c r="CL2" s="1283"/>
      <c r="CM2" s="1283"/>
      <c r="CN2" s="1283"/>
      <c r="CO2" s="1283"/>
      <c r="CP2" s="1283"/>
      <c r="CQ2" s="1283"/>
      <c r="CR2" s="1283"/>
      <c r="CS2" s="1283"/>
      <c r="CT2" s="1283"/>
      <c r="CU2" s="1283"/>
      <c r="CV2" s="1283"/>
      <c r="CW2" s="1283"/>
      <c r="CX2" s="1283"/>
      <c r="CY2" s="1283"/>
      <c r="CZ2" s="1283"/>
      <c r="DA2" s="1283"/>
      <c r="DB2" s="1283"/>
      <c r="DC2" s="1283"/>
      <c r="DD2" s="1283"/>
      <c r="DE2" s="1283"/>
      <c r="DF2" s="1283"/>
      <c r="DG2" s="1283"/>
      <c r="DH2" s="1283"/>
      <c r="DI2" s="1283"/>
      <c r="DJ2" s="1283"/>
      <c r="DK2" s="1283"/>
      <c r="DL2" s="1283"/>
      <c r="DM2" s="1283"/>
      <c r="DN2" s="1283"/>
      <c r="DO2" s="1283"/>
      <c r="DP2" s="1283"/>
      <c r="DQ2" s="1283"/>
      <c r="DR2" s="1283"/>
      <c r="DS2" s="1283"/>
      <c r="DT2" s="1283"/>
      <c r="DU2" s="1283"/>
      <c r="DV2" s="1283"/>
      <c r="DW2" s="1283"/>
      <c r="DX2" s="1283"/>
      <c r="DY2" s="1283"/>
      <c r="DZ2" s="1283"/>
      <c r="EA2" s="1283"/>
      <c r="EB2" s="1283"/>
      <c r="EC2" s="1283"/>
      <c r="ED2" s="1283"/>
      <c r="EE2" s="1283"/>
      <c r="EF2" s="1283"/>
      <c r="EG2" s="1283"/>
      <c r="EH2" s="1283"/>
      <c r="EI2" s="1283"/>
      <c r="EJ2" s="1283"/>
      <c r="EK2" s="1283"/>
      <c r="EL2" s="1283"/>
      <c r="EM2" s="1283"/>
      <c r="EN2" s="1283"/>
      <c r="EO2" s="1283"/>
      <c r="EP2" s="1283"/>
      <c r="EQ2" s="1283"/>
      <c r="ER2" s="1283"/>
      <c r="ES2" s="1283"/>
      <c r="ET2" s="1283"/>
      <c r="EU2" s="1283"/>
      <c r="EV2" s="1283"/>
      <c r="EW2" s="1283"/>
      <c r="EX2" s="1283"/>
      <c r="EY2" s="1283"/>
      <c r="EZ2" s="1283"/>
      <c r="FA2" s="1283"/>
      <c r="FB2" s="1283"/>
      <c r="FC2" s="1283"/>
      <c r="FD2" s="1283"/>
      <c r="FE2" s="1283"/>
      <c r="FF2" s="1283"/>
      <c r="FG2" s="1283"/>
      <c r="FH2" s="1283"/>
      <c r="FI2" s="1283"/>
      <c r="FJ2" s="1283"/>
      <c r="FK2" s="1283"/>
      <c r="FL2" s="1283"/>
      <c r="FM2" s="1283"/>
      <c r="FN2" s="1283"/>
      <c r="FO2" s="1283"/>
      <c r="FP2" s="1283"/>
      <c r="FQ2" s="1283"/>
      <c r="FR2" s="1283"/>
      <c r="FS2" s="1283"/>
      <c r="FT2" s="1283"/>
      <c r="FU2" s="1283"/>
      <c r="FV2" s="1283"/>
      <c r="FW2" s="1283"/>
      <c r="FX2" s="1283"/>
      <c r="FY2" s="1283"/>
      <c r="FZ2" s="1283"/>
      <c r="GA2" s="1283"/>
      <c r="GB2" s="1283"/>
      <c r="GC2" s="1283"/>
      <c r="GD2" s="1283"/>
      <c r="GE2" s="1283"/>
      <c r="GF2" s="1283"/>
      <c r="GG2" s="1283"/>
      <c r="GH2" s="1283"/>
      <c r="GI2" s="1283"/>
      <c r="GJ2" s="1283"/>
      <c r="GK2" s="1283"/>
      <c r="GL2" s="1283"/>
      <c r="GM2" s="1283"/>
      <c r="GN2" s="1283"/>
      <c r="GO2" s="1283"/>
      <c r="GP2" s="1283"/>
      <c r="GQ2" s="1283"/>
      <c r="GR2" s="1283"/>
      <c r="GS2" s="1283"/>
      <c r="GT2" s="1283"/>
      <c r="GU2" s="1283"/>
      <c r="GV2" s="1283"/>
      <c r="GW2" s="1283"/>
      <c r="GX2" s="1283"/>
      <c r="GY2" s="1283"/>
      <c r="GZ2" s="1283"/>
      <c r="HA2" s="1283"/>
      <c r="HB2" s="1283"/>
      <c r="HC2" s="1283"/>
      <c r="HD2" s="1283"/>
      <c r="HE2" s="1283"/>
      <c r="HF2" s="1283"/>
      <c r="HG2" s="1283"/>
      <c r="HH2" s="1283"/>
      <c r="HI2" s="1283"/>
      <c r="HJ2" s="1283"/>
      <c r="HK2" s="1283"/>
      <c r="HL2" s="1283"/>
      <c r="HM2" s="1283"/>
      <c r="HN2" s="1283"/>
      <c r="HO2" s="1283"/>
      <c r="HP2" s="1283"/>
      <c r="HQ2" s="1283"/>
      <c r="HR2" s="1283"/>
      <c r="HS2" s="1283"/>
      <c r="HT2" s="1283"/>
      <c r="HU2" s="1283"/>
      <c r="HV2" s="1283"/>
      <c r="HW2" s="1283"/>
      <c r="HX2" s="1283"/>
      <c r="HY2" s="1283"/>
      <c r="HZ2" s="1283"/>
      <c r="IA2" s="1283"/>
      <c r="IB2" s="1283"/>
      <c r="IC2" s="1283"/>
      <c r="ID2" s="1283"/>
      <c r="IE2" s="1283"/>
      <c r="IF2" s="1283"/>
      <c r="IG2" s="1283"/>
      <c r="IH2" s="1283"/>
      <c r="II2" s="1283"/>
      <c r="IJ2" s="1283"/>
      <c r="IK2" s="1283"/>
      <c r="IL2" s="1283"/>
      <c r="IM2" s="1283"/>
      <c r="IN2" s="1283"/>
      <c r="IO2" s="1283"/>
      <c r="IP2" s="1283"/>
      <c r="IQ2" s="1283"/>
      <c r="IR2" s="1283"/>
      <c r="IS2" s="1283"/>
      <c r="IT2" s="1283"/>
      <c r="IU2" s="1283"/>
      <c r="IV2" s="1283"/>
      <c r="IW2" s="1283"/>
      <c r="IX2" s="1283"/>
      <c r="IY2" s="1283"/>
      <c r="IZ2" s="1283"/>
      <c r="JA2" s="1283"/>
      <c r="JB2" s="1283"/>
    </row>
    <row r="3" spans="1:262" ht="7.5" customHeight="1" thickBot="1" x14ac:dyDescent="0.4">
      <c r="A3" s="411"/>
    </row>
    <row r="4" spans="1:262" ht="15" thickBot="1" x14ac:dyDescent="0.4">
      <c r="A4" s="1294" t="s">
        <v>511</v>
      </c>
      <c r="B4" s="1297">
        <v>2001</v>
      </c>
      <c r="C4" s="1298"/>
      <c r="D4" s="1299"/>
      <c r="E4" s="1297">
        <v>2002</v>
      </c>
      <c r="F4" s="1298"/>
      <c r="G4" s="1299"/>
      <c r="H4" s="1297">
        <v>2002</v>
      </c>
      <c r="I4" s="1298"/>
      <c r="J4" s="1299"/>
      <c r="K4" s="1297">
        <v>2003</v>
      </c>
      <c r="L4" s="1298"/>
      <c r="M4" s="1299"/>
      <c r="N4" s="1297">
        <v>2003</v>
      </c>
      <c r="O4" s="1298"/>
      <c r="P4" s="1299"/>
      <c r="Q4" s="406">
        <v>2004</v>
      </c>
      <c r="R4" s="405"/>
      <c r="S4" s="407"/>
      <c r="T4" s="406">
        <v>2004</v>
      </c>
      <c r="U4" s="405"/>
      <c r="V4" s="408"/>
      <c r="W4" s="406">
        <v>2005</v>
      </c>
      <c r="X4" s="405"/>
      <c r="Y4" s="407"/>
      <c r="Z4" s="405"/>
      <c r="AA4" s="405"/>
      <c r="AB4" s="408"/>
      <c r="AC4" s="406">
        <v>2006</v>
      </c>
      <c r="AD4" s="405"/>
      <c r="AE4" s="407"/>
      <c r="AF4" s="405"/>
      <c r="AG4" s="405"/>
      <c r="AH4" s="408"/>
      <c r="AI4" s="406">
        <v>2007</v>
      </c>
      <c r="AJ4" s="405"/>
      <c r="AK4" s="407"/>
      <c r="AL4" s="405"/>
      <c r="AM4" s="405"/>
      <c r="AN4" s="408"/>
      <c r="AO4" s="405"/>
      <c r="AP4" s="405"/>
      <c r="AQ4" s="408"/>
      <c r="AR4" s="406">
        <v>2008</v>
      </c>
      <c r="AS4" s="405"/>
      <c r="AT4" s="407"/>
      <c r="AU4" s="406">
        <v>2008</v>
      </c>
      <c r="AV4" s="410"/>
      <c r="AW4" s="410"/>
      <c r="AX4" s="410"/>
      <c r="AY4" s="410">
        <v>2008</v>
      </c>
      <c r="AZ4" s="409"/>
      <c r="BA4" s="405"/>
      <c r="BB4" s="405"/>
      <c r="BC4" s="408"/>
      <c r="BD4" s="406">
        <v>2009</v>
      </c>
      <c r="BE4" s="405"/>
      <c r="BF4" s="407"/>
      <c r="BG4" s="406">
        <v>2009</v>
      </c>
      <c r="BH4" s="405"/>
      <c r="BI4" s="407"/>
      <c r="BJ4" s="406">
        <v>2009</v>
      </c>
      <c r="BK4" s="405"/>
      <c r="BL4" s="407"/>
      <c r="BM4" s="1300">
        <v>2009</v>
      </c>
      <c r="BN4" s="1301"/>
      <c r="BO4" s="1302"/>
      <c r="BP4" s="406">
        <v>2010</v>
      </c>
      <c r="BQ4" s="405"/>
      <c r="BR4" s="407"/>
      <c r="BS4" s="406">
        <v>2010</v>
      </c>
      <c r="BT4" s="405"/>
      <c r="BU4" s="407"/>
      <c r="BV4" s="406">
        <v>2010</v>
      </c>
      <c r="BW4" s="405"/>
      <c r="BX4" s="407"/>
      <c r="BY4" s="406">
        <v>2010</v>
      </c>
      <c r="BZ4" s="405"/>
      <c r="CA4" s="407"/>
      <c r="CB4" s="406">
        <v>2011</v>
      </c>
      <c r="CC4" s="405"/>
      <c r="CD4" s="407"/>
      <c r="CE4" s="406">
        <v>2011</v>
      </c>
      <c r="CF4" s="405"/>
      <c r="CG4" s="407"/>
      <c r="CH4" s="406">
        <v>2011</v>
      </c>
      <c r="CI4" s="405"/>
      <c r="CJ4" s="407"/>
      <c r="CK4" s="406">
        <v>2011</v>
      </c>
      <c r="CL4" s="405"/>
      <c r="CM4" s="405"/>
      <c r="CN4" s="1287">
        <v>2012</v>
      </c>
      <c r="CO4" s="1292"/>
      <c r="CP4" s="1293"/>
      <c r="CQ4" s="1287">
        <v>2012</v>
      </c>
      <c r="CR4" s="1292"/>
      <c r="CS4" s="1293"/>
      <c r="CT4" s="1287">
        <v>2012</v>
      </c>
      <c r="CU4" s="1292"/>
      <c r="CV4" s="1293"/>
      <c r="CW4" s="1287">
        <v>2012</v>
      </c>
      <c r="CX4" s="1292"/>
      <c r="CY4" s="1293"/>
      <c r="CZ4" s="1287">
        <v>2013</v>
      </c>
      <c r="DA4" s="1292"/>
      <c r="DB4" s="1293"/>
      <c r="DC4" s="1287">
        <v>2013</v>
      </c>
      <c r="DD4" s="1292"/>
      <c r="DE4" s="1293"/>
      <c r="DF4" s="1287">
        <v>2013</v>
      </c>
      <c r="DG4" s="1292"/>
      <c r="DH4" s="1293"/>
      <c r="DI4" s="1287">
        <v>2013</v>
      </c>
      <c r="DJ4" s="1292"/>
      <c r="DK4" s="1293"/>
      <c r="DL4" s="1287">
        <v>2014</v>
      </c>
      <c r="DM4" s="1292"/>
      <c r="DN4" s="1293"/>
      <c r="DO4" s="1287">
        <v>2014</v>
      </c>
      <c r="DP4" s="1292"/>
      <c r="DQ4" s="1293"/>
      <c r="DR4" s="1287">
        <v>2014</v>
      </c>
      <c r="DS4" s="1292"/>
      <c r="DT4" s="1293"/>
      <c r="DU4" s="1287">
        <v>2014</v>
      </c>
      <c r="DV4" s="1292"/>
      <c r="DW4" s="1293"/>
      <c r="DX4" s="1287">
        <v>2015</v>
      </c>
      <c r="DY4" s="1292"/>
      <c r="DZ4" s="1293"/>
      <c r="EA4" s="1287">
        <v>2015</v>
      </c>
      <c r="EB4" s="1292"/>
      <c r="EC4" s="1293"/>
      <c r="ED4" s="1287">
        <v>2015</v>
      </c>
      <c r="EE4" s="1292"/>
      <c r="EF4" s="1293"/>
      <c r="EG4" s="1287">
        <v>2015</v>
      </c>
      <c r="EH4" s="1292"/>
      <c r="EI4" s="1293"/>
      <c r="EJ4" s="1287">
        <v>2016</v>
      </c>
      <c r="EK4" s="1292"/>
      <c r="EL4" s="1293"/>
      <c r="EM4" s="1287">
        <v>2016</v>
      </c>
      <c r="EN4" s="1292"/>
      <c r="EO4" s="1293"/>
      <c r="EP4" s="1287">
        <v>2016</v>
      </c>
      <c r="EQ4" s="1292"/>
      <c r="ER4" s="1293"/>
      <c r="ES4" s="1287">
        <v>2016</v>
      </c>
      <c r="ET4" s="1292"/>
      <c r="EU4" s="1293"/>
      <c r="EV4" s="1287">
        <v>2017</v>
      </c>
      <c r="EW4" s="1292"/>
      <c r="EX4" s="1293"/>
      <c r="EY4" s="1287">
        <v>2017</v>
      </c>
      <c r="EZ4" s="1292"/>
      <c r="FA4" s="1293"/>
      <c r="FB4" s="1287">
        <v>2017</v>
      </c>
      <c r="FC4" s="1292"/>
      <c r="FD4" s="1293"/>
      <c r="FE4" s="1287">
        <v>2017</v>
      </c>
      <c r="FF4" s="1292"/>
      <c r="FG4" s="1293"/>
      <c r="FH4" s="1287">
        <v>2018</v>
      </c>
      <c r="FI4" s="1292"/>
      <c r="FJ4" s="1293"/>
      <c r="FK4" s="1287">
        <v>2018</v>
      </c>
      <c r="FL4" s="1292"/>
      <c r="FM4" s="1293"/>
      <c r="FN4" s="1287">
        <v>2018</v>
      </c>
      <c r="FO4" s="1292"/>
      <c r="FP4" s="1293"/>
      <c r="FQ4" s="1287">
        <v>2018</v>
      </c>
      <c r="FR4" s="1292"/>
      <c r="FS4" s="1293"/>
      <c r="FT4" s="1287">
        <v>2019</v>
      </c>
      <c r="FU4" s="1292"/>
      <c r="FV4" s="1293"/>
      <c r="FW4" s="1287">
        <v>2019</v>
      </c>
      <c r="FX4" s="1292"/>
      <c r="FY4" s="1293"/>
      <c r="FZ4" s="1287">
        <v>2019</v>
      </c>
      <c r="GA4" s="1292"/>
      <c r="GB4" s="1293"/>
      <c r="GC4" s="1287">
        <v>2019</v>
      </c>
      <c r="GD4" s="1292"/>
      <c r="GE4" s="1293"/>
      <c r="GF4" s="1287">
        <v>2020</v>
      </c>
      <c r="GG4" s="1292"/>
      <c r="GH4" s="1293"/>
      <c r="GI4" s="1287">
        <v>2020</v>
      </c>
      <c r="GJ4" s="1292"/>
      <c r="GK4" s="1293"/>
      <c r="GL4" s="1287">
        <v>2020</v>
      </c>
      <c r="GM4" s="1292"/>
      <c r="GN4" s="1293"/>
      <c r="GO4" s="1287">
        <v>2020</v>
      </c>
      <c r="GP4" s="1292"/>
      <c r="GQ4" s="1293"/>
      <c r="GR4" s="1287">
        <v>2021</v>
      </c>
      <c r="GS4" s="1292"/>
      <c r="GT4" s="1293"/>
      <c r="GU4" s="1287">
        <v>2021</v>
      </c>
      <c r="GV4" s="1292"/>
      <c r="GW4" s="1293"/>
      <c r="GX4" s="1287">
        <v>2021</v>
      </c>
      <c r="GY4" s="1292"/>
      <c r="GZ4" s="1293"/>
      <c r="HA4" s="1287">
        <v>2021</v>
      </c>
      <c r="HB4" s="1292"/>
      <c r="HC4" s="1293"/>
      <c r="HD4" s="1287">
        <v>2022</v>
      </c>
      <c r="HE4" s="1292"/>
      <c r="HF4" s="1293"/>
      <c r="HG4" s="1287">
        <v>2022</v>
      </c>
      <c r="HH4" s="1292"/>
      <c r="HI4" s="1293"/>
      <c r="HJ4" s="1287">
        <v>2022</v>
      </c>
      <c r="HK4" s="1292"/>
      <c r="HL4" s="1293"/>
      <c r="HM4" s="1287">
        <v>2022</v>
      </c>
      <c r="HN4" s="1292"/>
      <c r="HO4" s="1293"/>
      <c r="HP4" s="1287">
        <v>2023</v>
      </c>
      <c r="HQ4" s="1292"/>
      <c r="HR4" s="1293"/>
      <c r="HS4" s="1287">
        <v>2023</v>
      </c>
      <c r="HT4" s="1292"/>
      <c r="HU4" s="1293"/>
      <c r="HV4" s="1287">
        <v>2023</v>
      </c>
      <c r="HW4" s="1292"/>
      <c r="HX4" s="1293"/>
      <c r="HY4" s="1287">
        <v>2023</v>
      </c>
      <c r="HZ4" s="1292"/>
      <c r="IA4" s="1293"/>
      <c r="IB4" s="1287">
        <v>2024</v>
      </c>
      <c r="IC4" s="1292"/>
      <c r="ID4" s="1293"/>
      <c r="IE4" s="1287">
        <v>2024</v>
      </c>
      <c r="IF4" s="1292"/>
      <c r="IG4" s="1293"/>
      <c r="IH4" s="1287">
        <v>2024</v>
      </c>
      <c r="II4" s="1292"/>
      <c r="IJ4" s="1293"/>
      <c r="IK4" s="1287">
        <v>2024</v>
      </c>
      <c r="IL4" s="1292"/>
      <c r="IM4" s="1292"/>
      <c r="IN4" s="1286">
        <v>2025</v>
      </c>
      <c r="IO4" s="1292"/>
      <c r="IP4" s="1310"/>
      <c r="IQ4" s="1286">
        <v>2025</v>
      </c>
      <c r="IR4" s="1287"/>
      <c r="IS4" s="1288"/>
      <c r="IT4" s="1286">
        <v>2025</v>
      </c>
      <c r="IU4" s="1287"/>
      <c r="IV4" s="1288"/>
      <c r="IW4" s="1286">
        <v>2025</v>
      </c>
      <c r="IX4" s="1287"/>
      <c r="IY4" s="1288"/>
      <c r="IZ4" s="1286">
        <v>2026</v>
      </c>
      <c r="JA4" s="1287"/>
      <c r="JB4" s="1288"/>
    </row>
    <row r="5" spans="1:262" x14ac:dyDescent="0.35">
      <c r="A5" s="1295"/>
      <c r="B5" s="1303" t="s">
        <v>500</v>
      </c>
      <c r="C5" s="1304"/>
      <c r="D5" s="1305"/>
      <c r="E5" s="1303" t="s">
        <v>498</v>
      </c>
      <c r="F5" s="1304"/>
      <c r="G5" s="1305"/>
      <c r="H5" s="1303" t="s">
        <v>500</v>
      </c>
      <c r="I5" s="1304"/>
      <c r="J5" s="1305"/>
      <c r="K5" s="1303" t="s">
        <v>498</v>
      </c>
      <c r="L5" s="1304"/>
      <c r="M5" s="1305"/>
      <c r="N5" s="1303" t="s">
        <v>500</v>
      </c>
      <c r="O5" s="1304"/>
      <c r="P5" s="1305"/>
      <c r="Q5" s="1303" t="s">
        <v>498</v>
      </c>
      <c r="R5" s="1304"/>
      <c r="S5" s="1305"/>
      <c r="T5" s="1303" t="s">
        <v>500</v>
      </c>
      <c r="U5" s="1304"/>
      <c r="V5" s="1305"/>
      <c r="W5" s="1303" t="s">
        <v>498</v>
      </c>
      <c r="X5" s="1304"/>
      <c r="Y5" s="1305"/>
      <c r="Z5" s="1303" t="s">
        <v>500</v>
      </c>
      <c r="AA5" s="1304"/>
      <c r="AB5" s="1305"/>
      <c r="AC5" s="1303" t="s">
        <v>498</v>
      </c>
      <c r="AD5" s="1304"/>
      <c r="AE5" s="1305"/>
      <c r="AF5" s="1303" t="s">
        <v>500</v>
      </c>
      <c r="AG5" s="1304"/>
      <c r="AH5" s="1305"/>
      <c r="AI5" s="1303" t="s">
        <v>498</v>
      </c>
      <c r="AJ5" s="1304"/>
      <c r="AK5" s="1305"/>
      <c r="AL5" s="1303" t="s">
        <v>501</v>
      </c>
      <c r="AM5" s="1304"/>
      <c r="AN5" s="1306"/>
      <c r="AO5" s="1303" t="s">
        <v>500</v>
      </c>
      <c r="AP5" s="1304"/>
      <c r="AQ5" s="1306"/>
      <c r="AR5" s="1303" t="s">
        <v>499</v>
      </c>
      <c r="AS5" s="1304"/>
      <c r="AT5" s="1305"/>
      <c r="AU5" s="1303" t="s">
        <v>498</v>
      </c>
      <c r="AV5" s="1304"/>
      <c r="AW5" s="1305"/>
      <c r="AX5" s="1303" t="s">
        <v>501</v>
      </c>
      <c r="AY5" s="1304"/>
      <c r="AZ5" s="1306"/>
      <c r="BA5" s="1303" t="s">
        <v>500</v>
      </c>
      <c r="BB5" s="1304"/>
      <c r="BC5" s="1306"/>
      <c r="BD5" s="1303" t="s">
        <v>499</v>
      </c>
      <c r="BE5" s="1304"/>
      <c r="BF5" s="1305"/>
      <c r="BG5" s="1303" t="s">
        <v>510</v>
      </c>
      <c r="BH5" s="1304"/>
      <c r="BI5" s="1305"/>
      <c r="BJ5" s="1303" t="s">
        <v>509</v>
      </c>
      <c r="BK5" s="1304"/>
      <c r="BL5" s="1305"/>
      <c r="BM5" s="1303" t="s">
        <v>508</v>
      </c>
      <c r="BN5" s="1304"/>
      <c r="BO5" s="1305"/>
      <c r="BP5" s="1303" t="s">
        <v>495</v>
      </c>
      <c r="BQ5" s="1304"/>
      <c r="BR5" s="1305"/>
      <c r="BS5" s="1303" t="s">
        <v>507</v>
      </c>
      <c r="BT5" s="1304"/>
      <c r="BU5" s="1305"/>
      <c r="BV5" s="1303" t="s">
        <v>506</v>
      </c>
      <c r="BW5" s="1304"/>
      <c r="BX5" s="1305"/>
      <c r="BY5" s="1303" t="s">
        <v>496</v>
      </c>
      <c r="BZ5" s="1304"/>
      <c r="CA5" s="1305"/>
      <c r="CB5" s="1303" t="s">
        <v>495</v>
      </c>
      <c r="CC5" s="1304"/>
      <c r="CD5" s="1305"/>
      <c r="CE5" s="1303" t="s">
        <v>498</v>
      </c>
      <c r="CF5" s="1304"/>
      <c r="CG5" s="1305"/>
      <c r="CH5" s="1303" t="s">
        <v>497</v>
      </c>
      <c r="CI5" s="1304"/>
      <c r="CJ5" s="1305"/>
      <c r="CK5" s="1303" t="s">
        <v>505</v>
      </c>
      <c r="CL5" s="1304"/>
      <c r="CM5" s="1309"/>
      <c r="CN5" s="1307" t="s">
        <v>499</v>
      </c>
      <c r="CO5" s="1308"/>
      <c r="CP5" s="1309"/>
      <c r="CQ5" s="1307" t="s">
        <v>498</v>
      </c>
      <c r="CR5" s="1308"/>
      <c r="CS5" s="1309"/>
      <c r="CT5" s="1307" t="s">
        <v>503</v>
      </c>
      <c r="CU5" s="1308"/>
      <c r="CV5" s="1309"/>
      <c r="CW5" s="1307" t="s">
        <v>502</v>
      </c>
      <c r="CX5" s="1308"/>
      <c r="CY5" s="1309"/>
      <c r="CZ5" s="1307" t="s">
        <v>499</v>
      </c>
      <c r="DA5" s="1308"/>
      <c r="DB5" s="1309"/>
      <c r="DC5" s="1307" t="s">
        <v>504</v>
      </c>
      <c r="DD5" s="1308"/>
      <c r="DE5" s="1309"/>
      <c r="DF5" s="1307" t="s">
        <v>503</v>
      </c>
      <c r="DG5" s="1308"/>
      <c r="DH5" s="1309"/>
      <c r="DI5" s="1307" t="s">
        <v>500</v>
      </c>
      <c r="DJ5" s="1308"/>
      <c r="DK5" s="1309"/>
      <c r="DL5" s="1307" t="s">
        <v>499</v>
      </c>
      <c r="DM5" s="1308"/>
      <c r="DN5" s="1309"/>
      <c r="DO5" s="1307" t="s">
        <v>504</v>
      </c>
      <c r="DP5" s="1308"/>
      <c r="DQ5" s="1309"/>
      <c r="DR5" s="1307" t="s">
        <v>503</v>
      </c>
      <c r="DS5" s="1308"/>
      <c r="DT5" s="1309"/>
      <c r="DU5" s="1307" t="s">
        <v>500</v>
      </c>
      <c r="DV5" s="1308"/>
      <c r="DW5" s="1309"/>
      <c r="DX5" s="1307" t="s">
        <v>499</v>
      </c>
      <c r="DY5" s="1308"/>
      <c r="DZ5" s="1309"/>
      <c r="EA5" s="1307" t="s">
        <v>498</v>
      </c>
      <c r="EB5" s="1308"/>
      <c r="EC5" s="1309"/>
      <c r="ED5" s="1307" t="s">
        <v>503</v>
      </c>
      <c r="EE5" s="1308"/>
      <c r="EF5" s="1309"/>
      <c r="EG5" s="1307" t="s">
        <v>502</v>
      </c>
      <c r="EH5" s="1308"/>
      <c r="EI5" s="1309"/>
      <c r="EJ5" s="1307" t="s">
        <v>499</v>
      </c>
      <c r="EK5" s="1308"/>
      <c r="EL5" s="1309"/>
      <c r="EM5" s="1307" t="s">
        <v>498</v>
      </c>
      <c r="EN5" s="1308"/>
      <c r="EO5" s="1309"/>
      <c r="EP5" s="1307" t="s">
        <v>501</v>
      </c>
      <c r="EQ5" s="1308"/>
      <c r="ER5" s="1309"/>
      <c r="ES5" s="1307" t="s">
        <v>500</v>
      </c>
      <c r="ET5" s="1308"/>
      <c r="EU5" s="1309"/>
      <c r="EV5" s="1307" t="s">
        <v>499</v>
      </c>
      <c r="EW5" s="1308"/>
      <c r="EX5" s="1309"/>
      <c r="EY5" s="1307" t="s">
        <v>498</v>
      </c>
      <c r="EZ5" s="1308"/>
      <c r="FA5" s="1309"/>
      <c r="FB5" s="1307" t="s">
        <v>501</v>
      </c>
      <c r="FC5" s="1308"/>
      <c r="FD5" s="1309"/>
      <c r="FE5" s="1307" t="s">
        <v>500</v>
      </c>
      <c r="FF5" s="1308"/>
      <c r="FG5" s="1309"/>
      <c r="FH5" s="1307" t="s">
        <v>499</v>
      </c>
      <c r="FI5" s="1308"/>
      <c r="FJ5" s="1309"/>
      <c r="FK5" s="1307" t="s">
        <v>498</v>
      </c>
      <c r="FL5" s="1308"/>
      <c r="FM5" s="1309"/>
      <c r="FN5" s="1307" t="s">
        <v>501</v>
      </c>
      <c r="FO5" s="1308"/>
      <c r="FP5" s="1309"/>
      <c r="FQ5" s="1307" t="s">
        <v>500</v>
      </c>
      <c r="FR5" s="1308"/>
      <c r="FS5" s="1309"/>
      <c r="FT5" s="1307" t="s">
        <v>499</v>
      </c>
      <c r="FU5" s="1308"/>
      <c r="FV5" s="1309"/>
      <c r="FW5" s="1307" t="s">
        <v>498</v>
      </c>
      <c r="FX5" s="1308"/>
      <c r="FY5" s="1309"/>
      <c r="FZ5" s="1307" t="s">
        <v>501</v>
      </c>
      <c r="GA5" s="1308"/>
      <c r="GB5" s="1309"/>
      <c r="GC5" s="1307" t="s">
        <v>500</v>
      </c>
      <c r="GD5" s="1308"/>
      <c r="GE5" s="1309"/>
      <c r="GF5" s="1307" t="s">
        <v>495</v>
      </c>
      <c r="GG5" s="1308"/>
      <c r="GH5" s="1309"/>
      <c r="GI5" s="1307" t="s">
        <v>498</v>
      </c>
      <c r="GJ5" s="1308"/>
      <c r="GK5" s="1309"/>
      <c r="GL5" s="1307" t="s">
        <v>501</v>
      </c>
      <c r="GM5" s="1308"/>
      <c r="GN5" s="1309"/>
      <c r="GO5" s="1307" t="s">
        <v>500</v>
      </c>
      <c r="GP5" s="1308"/>
      <c r="GQ5" s="1309"/>
      <c r="GR5" s="1307" t="s">
        <v>499</v>
      </c>
      <c r="GS5" s="1308"/>
      <c r="GT5" s="1309"/>
      <c r="GU5" s="1307" t="s">
        <v>498</v>
      </c>
      <c r="GV5" s="1308"/>
      <c r="GW5" s="1309"/>
      <c r="GX5" s="1307" t="s">
        <v>501</v>
      </c>
      <c r="GY5" s="1308"/>
      <c r="GZ5" s="1309"/>
      <c r="HA5" s="1307" t="s">
        <v>500</v>
      </c>
      <c r="HB5" s="1308"/>
      <c r="HC5" s="1309"/>
      <c r="HD5" s="1307" t="s">
        <v>499</v>
      </c>
      <c r="HE5" s="1308"/>
      <c r="HF5" s="1309"/>
      <c r="HG5" s="1307" t="s">
        <v>498</v>
      </c>
      <c r="HH5" s="1308"/>
      <c r="HI5" s="1309"/>
      <c r="HJ5" s="1307" t="s">
        <v>501</v>
      </c>
      <c r="HK5" s="1308"/>
      <c r="HL5" s="1309"/>
      <c r="HM5" s="1307" t="s">
        <v>500</v>
      </c>
      <c r="HN5" s="1308"/>
      <c r="HO5" s="1309"/>
      <c r="HP5" s="1307" t="s">
        <v>499</v>
      </c>
      <c r="HQ5" s="1308"/>
      <c r="HR5" s="1309"/>
      <c r="HS5" s="1307" t="s">
        <v>498</v>
      </c>
      <c r="HT5" s="1308"/>
      <c r="HU5" s="1309"/>
      <c r="HV5" s="1307" t="s">
        <v>501</v>
      </c>
      <c r="HW5" s="1308"/>
      <c r="HX5" s="1309"/>
      <c r="HY5" s="1307" t="s">
        <v>500</v>
      </c>
      <c r="HZ5" s="1308"/>
      <c r="IA5" s="1309"/>
      <c r="IB5" s="1307" t="s">
        <v>499</v>
      </c>
      <c r="IC5" s="1308"/>
      <c r="ID5" s="1309"/>
      <c r="IE5" s="1307" t="s">
        <v>498</v>
      </c>
      <c r="IF5" s="1308"/>
      <c r="IG5" s="1309"/>
      <c r="IH5" s="1307" t="s">
        <v>497</v>
      </c>
      <c r="II5" s="1308"/>
      <c r="IJ5" s="1309"/>
      <c r="IK5" s="1307" t="s">
        <v>496</v>
      </c>
      <c r="IL5" s="1308"/>
      <c r="IM5" s="1308"/>
      <c r="IN5" s="1289" t="s">
        <v>495</v>
      </c>
      <c r="IO5" s="1290"/>
      <c r="IP5" s="1291"/>
      <c r="IQ5" s="1289" t="s">
        <v>494</v>
      </c>
      <c r="IR5" s="1290"/>
      <c r="IS5" s="1291"/>
      <c r="IT5" s="1289" t="s">
        <v>802</v>
      </c>
      <c r="IU5" s="1290"/>
      <c r="IV5" s="1291"/>
      <c r="IW5" s="1289" t="s">
        <v>899</v>
      </c>
      <c r="IX5" s="1290"/>
      <c r="IY5" s="1291"/>
      <c r="IZ5" s="1289" t="s">
        <v>898</v>
      </c>
      <c r="JA5" s="1290"/>
      <c r="JB5" s="1291"/>
    </row>
    <row r="6" spans="1:262" s="923" customFormat="1" ht="15" thickBot="1" x14ac:dyDescent="0.4">
      <c r="A6" s="1296"/>
      <c r="B6" s="931" t="s">
        <v>493</v>
      </c>
      <c r="C6" s="931" t="s">
        <v>492</v>
      </c>
      <c r="D6" s="932" t="s">
        <v>491</v>
      </c>
      <c r="E6" s="931" t="s">
        <v>493</v>
      </c>
      <c r="F6" s="931" t="s">
        <v>492</v>
      </c>
      <c r="G6" s="932" t="s">
        <v>491</v>
      </c>
      <c r="H6" s="931" t="s">
        <v>493</v>
      </c>
      <c r="I6" s="931" t="s">
        <v>492</v>
      </c>
      <c r="J6" s="932" t="s">
        <v>491</v>
      </c>
      <c r="K6" s="931" t="s">
        <v>493</v>
      </c>
      <c r="L6" s="931" t="s">
        <v>492</v>
      </c>
      <c r="M6" s="932" t="s">
        <v>491</v>
      </c>
      <c r="N6" s="931" t="s">
        <v>493</v>
      </c>
      <c r="O6" s="931" t="s">
        <v>492</v>
      </c>
      <c r="P6" s="932" t="s">
        <v>491</v>
      </c>
      <c r="Q6" s="931" t="s">
        <v>493</v>
      </c>
      <c r="R6" s="931" t="s">
        <v>492</v>
      </c>
      <c r="S6" s="932" t="s">
        <v>491</v>
      </c>
      <c r="T6" s="931" t="s">
        <v>493</v>
      </c>
      <c r="U6" s="931" t="s">
        <v>492</v>
      </c>
      <c r="V6" s="932" t="s">
        <v>491</v>
      </c>
      <c r="W6" s="931" t="s">
        <v>493</v>
      </c>
      <c r="X6" s="931" t="s">
        <v>492</v>
      </c>
      <c r="Y6" s="932" t="s">
        <v>491</v>
      </c>
      <c r="Z6" s="931" t="s">
        <v>493</v>
      </c>
      <c r="AA6" s="931" t="s">
        <v>492</v>
      </c>
      <c r="AB6" s="932" t="s">
        <v>491</v>
      </c>
      <c r="AC6" s="931" t="s">
        <v>493</v>
      </c>
      <c r="AD6" s="931" t="s">
        <v>492</v>
      </c>
      <c r="AE6" s="932" t="s">
        <v>491</v>
      </c>
      <c r="AF6" s="931" t="s">
        <v>493</v>
      </c>
      <c r="AG6" s="931" t="s">
        <v>492</v>
      </c>
      <c r="AH6" s="932" t="s">
        <v>491</v>
      </c>
      <c r="AI6" s="931" t="s">
        <v>493</v>
      </c>
      <c r="AJ6" s="931" t="s">
        <v>492</v>
      </c>
      <c r="AK6" s="932" t="s">
        <v>491</v>
      </c>
      <c r="AL6" s="931" t="s">
        <v>493</v>
      </c>
      <c r="AM6" s="931" t="s">
        <v>492</v>
      </c>
      <c r="AN6" s="932" t="s">
        <v>491</v>
      </c>
      <c r="AO6" s="931" t="s">
        <v>493</v>
      </c>
      <c r="AP6" s="931" t="s">
        <v>492</v>
      </c>
      <c r="AQ6" s="932" t="s">
        <v>491</v>
      </c>
      <c r="AR6" s="931" t="s">
        <v>493</v>
      </c>
      <c r="AS6" s="931" t="s">
        <v>492</v>
      </c>
      <c r="AT6" s="932" t="s">
        <v>491</v>
      </c>
      <c r="AU6" s="931" t="s">
        <v>493</v>
      </c>
      <c r="AV6" s="931" t="s">
        <v>492</v>
      </c>
      <c r="AW6" s="932" t="s">
        <v>491</v>
      </c>
      <c r="AX6" s="931" t="s">
        <v>493</v>
      </c>
      <c r="AY6" s="931" t="s">
        <v>492</v>
      </c>
      <c r="AZ6" s="932" t="s">
        <v>491</v>
      </c>
      <c r="BA6" s="931" t="s">
        <v>493</v>
      </c>
      <c r="BB6" s="931" t="s">
        <v>492</v>
      </c>
      <c r="BC6" s="932" t="s">
        <v>491</v>
      </c>
      <c r="BD6" s="931" t="s">
        <v>493</v>
      </c>
      <c r="BE6" s="931" t="s">
        <v>492</v>
      </c>
      <c r="BF6" s="932" t="s">
        <v>491</v>
      </c>
      <c r="BG6" s="931" t="s">
        <v>493</v>
      </c>
      <c r="BH6" s="931" t="s">
        <v>492</v>
      </c>
      <c r="BI6" s="932" t="s">
        <v>491</v>
      </c>
      <c r="BJ6" s="931" t="s">
        <v>493</v>
      </c>
      <c r="BK6" s="931" t="s">
        <v>492</v>
      </c>
      <c r="BL6" s="932" t="s">
        <v>491</v>
      </c>
      <c r="BM6" s="931" t="s">
        <v>493</v>
      </c>
      <c r="BN6" s="931" t="s">
        <v>492</v>
      </c>
      <c r="BO6" s="932" t="s">
        <v>491</v>
      </c>
      <c r="BP6" s="931" t="s">
        <v>493</v>
      </c>
      <c r="BQ6" s="931" t="s">
        <v>492</v>
      </c>
      <c r="BR6" s="932" t="s">
        <v>491</v>
      </c>
      <c r="BS6" s="931" t="s">
        <v>493</v>
      </c>
      <c r="BT6" s="931" t="s">
        <v>492</v>
      </c>
      <c r="BU6" s="932" t="s">
        <v>491</v>
      </c>
      <c r="BV6" s="931" t="s">
        <v>493</v>
      </c>
      <c r="BW6" s="931" t="s">
        <v>492</v>
      </c>
      <c r="BX6" s="932" t="s">
        <v>491</v>
      </c>
      <c r="BY6" s="931" t="s">
        <v>493</v>
      </c>
      <c r="BZ6" s="931" t="s">
        <v>492</v>
      </c>
      <c r="CA6" s="932" t="s">
        <v>491</v>
      </c>
      <c r="CB6" s="931" t="s">
        <v>493</v>
      </c>
      <c r="CC6" s="931" t="s">
        <v>492</v>
      </c>
      <c r="CD6" s="932" t="s">
        <v>491</v>
      </c>
      <c r="CE6" s="931" t="s">
        <v>493</v>
      </c>
      <c r="CF6" s="931" t="s">
        <v>492</v>
      </c>
      <c r="CG6" s="932" t="s">
        <v>491</v>
      </c>
      <c r="CH6" s="931" t="s">
        <v>493</v>
      </c>
      <c r="CI6" s="931" t="s">
        <v>492</v>
      </c>
      <c r="CJ6" s="932" t="s">
        <v>491</v>
      </c>
      <c r="CK6" s="931" t="s">
        <v>493</v>
      </c>
      <c r="CL6" s="931" t="s">
        <v>492</v>
      </c>
      <c r="CM6" s="932" t="s">
        <v>491</v>
      </c>
      <c r="CN6" s="931" t="s">
        <v>493</v>
      </c>
      <c r="CO6" s="931" t="s">
        <v>492</v>
      </c>
      <c r="CP6" s="932" t="s">
        <v>491</v>
      </c>
      <c r="CQ6" s="931" t="s">
        <v>493</v>
      </c>
      <c r="CR6" s="931" t="s">
        <v>492</v>
      </c>
      <c r="CS6" s="932" t="s">
        <v>491</v>
      </c>
      <c r="CT6" s="931" t="s">
        <v>493</v>
      </c>
      <c r="CU6" s="931" t="s">
        <v>492</v>
      </c>
      <c r="CV6" s="932" t="s">
        <v>491</v>
      </c>
      <c r="CW6" s="931" t="s">
        <v>493</v>
      </c>
      <c r="CX6" s="931" t="s">
        <v>492</v>
      </c>
      <c r="CY6" s="932" t="s">
        <v>491</v>
      </c>
      <c r="CZ6" s="931" t="s">
        <v>493</v>
      </c>
      <c r="DA6" s="931" t="s">
        <v>492</v>
      </c>
      <c r="DB6" s="932" t="s">
        <v>491</v>
      </c>
      <c r="DC6" s="931" t="s">
        <v>493</v>
      </c>
      <c r="DD6" s="931" t="s">
        <v>492</v>
      </c>
      <c r="DE6" s="932" t="s">
        <v>491</v>
      </c>
      <c r="DF6" s="931" t="s">
        <v>493</v>
      </c>
      <c r="DG6" s="931" t="s">
        <v>492</v>
      </c>
      <c r="DH6" s="932" t="s">
        <v>491</v>
      </c>
      <c r="DI6" s="931" t="s">
        <v>493</v>
      </c>
      <c r="DJ6" s="931" t="s">
        <v>492</v>
      </c>
      <c r="DK6" s="932" t="s">
        <v>491</v>
      </c>
      <c r="DL6" s="931" t="s">
        <v>493</v>
      </c>
      <c r="DM6" s="931" t="s">
        <v>492</v>
      </c>
      <c r="DN6" s="932" t="s">
        <v>491</v>
      </c>
      <c r="DO6" s="931" t="s">
        <v>493</v>
      </c>
      <c r="DP6" s="931" t="s">
        <v>492</v>
      </c>
      <c r="DQ6" s="932" t="s">
        <v>491</v>
      </c>
      <c r="DR6" s="931" t="s">
        <v>493</v>
      </c>
      <c r="DS6" s="931" t="s">
        <v>492</v>
      </c>
      <c r="DT6" s="932" t="s">
        <v>491</v>
      </c>
      <c r="DU6" s="931" t="s">
        <v>493</v>
      </c>
      <c r="DV6" s="931" t="s">
        <v>492</v>
      </c>
      <c r="DW6" s="932" t="s">
        <v>491</v>
      </c>
      <c r="DX6" s="931" t="s">
        <v>493</v>
      </c>
      <c r="DY6" s="931" t="s">
        <v>492</v>
      </c>
      <c r="DZ6" s="932" t="s">
        <v>491</v>
      </c>
      <c r="EA6" s="931" t="s">
        <v>493</v>
      </c>
      <c r="EB6" s="931" t="s">
        <v>492</v>
      </c>
      <c r="EC6" s="932" t="s">
        <v>491</v>
      </c>
      <c r="ED6" s="931" t="s">
        <v>493</v>
      </c>
      <c r="EE6" s="931" t="s">
        <v>492</v>
      </c>
      <c r="EF6" s="932" t="s">
        <v>491</v>
      </c>
      <c r="EG6" s="931" t="s">
        <v>493</v>
      </c>
      <c r="EH6" s="931" t="s">
        <v>492</v>
      </c>
      <c r="EI6" s="932" t="s">
        <v>491</v>
      </c>
      <c r="EJ6" s="931" t="s">
        <v>493</v>
      </c>
      <c r="EK6" s="931" t="s">
        <v>492</v>
      </c>
      <c r="EL6" s="932" t="s">
        <v>491</v>
      </c>
      <c r="EM6" s="931" t="s">
        <v>493</v>
      </c>
      <c r="EN6" s="931" t="s">
        <v>492</v>
      </c>
      <c r="EO6" s="932" t="s">
        <v>491</v>
      </c>
      <c r="EP6" s="931" t="s">
        <v>493</v>
      </c>
      <c r="EQ6" s="931" t="s">
        <v>492</v>
      </c>
      <c r="ER6" s="932" t="s">
        <v>491</v>
      </c>
      <c r="ES6" s="931" t="s">
        <v>493</v>
      </c>
      <c r="ET6" s="931" t="s">
        <v>492</v>
      </c>
      <c r="EU6" s="932" t="s">
        <v>491</v>
      </c>
      <c r="EV6" s="931" t="s">
        <v>493</v>
      </c>
      <c r="EW6" s="931" t="s">
        <v>492</v>
      </c>
      <c r="EX6" s="932" t="s">
        <v>491</v>
      </c>
      <c r="EY6" s="931" t="s">
        <v>493</v>
      </c>
      <c r="EZ6" s="931" t="s">
        <v>492</v>
      </c>
      <c r="FA6" s="932" t="s">
        <v>491</v>
      </c>
      <c r="FB6" s="931" t="s">
        <v>493</v>
      </c>
      <c r="FC6" s="931" t="s">
        <v>492</v>
      </c>
      <c r="FD6" s="932" t="s">
        <v>491</v>
      </c>
      <c r="FE6" s="931" t="s">
        <v>493</v>
      </c>
      <c r="FF6" s="931" t="s">
        <v>492</v>
      </c>
      <c r="FG6" s="932" t="s">
        <v>491</v>
      </c>
      <c r="FH6" s="931" t="s">
        <v>493</v>
      </c>
      <c r="FI6" s="931" t="s">
        <v>492</v>
      </c>
      <c r="FJ6" s="932" t="s">
        <v>491</v>
      </c>
      <c r="FK6" s="931" t="s">
        <v>493</v>
      </c>
      <c r="FL6" s="931" t="s">
        <v>492</v>
      </c>
      <c r="FM6" s="932" t="s">
        <v>491</v>
      </c>
      <c r="FN6" s="931" t="s">
        <v>493</v>
      </c>
      <c r="FO6" s="931" t="s">
        <v>492</v>
      </c>
      <c r="FP6" s="932" t="s">
        <v>491</v>
      </c>
      <c r="FQ6" s="931" t="s">
        <v>493</v>
      </c>
      <c r="FR6" s="931" t="s">
        <v>492</v>
      </c>
      <c r="FS6" s="932" t="s">
        <v>491</v>
      </c>
      <c r="FT6" s="931" t="s">
        <v>493</v>
      </c>
      <c r="FU6" s="931" t="s">
        <v>492</v>
      </c>
      <c r="FV6" s="932" t="s">
        <v>491</v>
      </c>
      <c r="FW6" s="931" t="s">
        <v>493</v>
      </c>
      <c r="FX6" s="931" t="s">
        <v>492</v>
      </c>
      <c r="FY6" s="932" t="s">
        <v>491</v>
      </c>
      <c r="FZ6" s="931" t="s">
        <v>493</v>
      </c>
      <c r="GA6" s="931" t="s">
        <v>492</v>
      </c>
      <c r="GB6" s="932" t="s">
        <v>491</v>
      </c>
      <c r="GC6" s="931" t="s">
        <v>493</v>
      </c>
      <c r="GD6" s="931" t="s">
        <v>492</v>
      </c>
      <c r="GE6" s="932" t="s">
        <v>491</v>
      </c>
      <c r="GF6" s="931" t="s">
        <v>493</v>
      </c>
      <c r="GG6" s="931" t="s">
        <v>492</v>
      </c>
      <c r="GH6" s="932" t="s">
        <v>491</v>
      </c>
      <c r="GI6" s="931" t="s">
        <v>493</v>
      </c>
      <c r="GJ6" s="931" t="s">
        <v>492</v>
      </c>
      <c r="GK6" s="932" t="s">
        <v>491</v>
      </c>
      <c r="GL6" s="931" t="s">
        <v>493</v>
      </c>
      <c r="GM6" s="931" t="s">
        <v>492</v>
      </c>
      <c r="GN6" s="932" t="s">
        <v>491</v>
      </c>
      <c r="GO6" s="931" t="s">
        <v>493</v>
      </c>
      <c r="GP6" s="931" t="s">
        <v>492</v>
      </c>
      <c r="GQ6" s="932" t="s">
        <v>491</v>
      </c>
      <c r="GR6" s="931" t="s">
        <v>493</v>
      </c>
      <c r="GS6" s="931" t="s">
        <v>492</v>
      </c>
      <c r="GT6" s="932" t="s">
        <v>491</v>
      </c>
      <c r="GU6" s="931" t="s">
        <v>493</v>
      </c>
      <c r="GV6" s="931" t="s">
        <v>492</v>
      </c>
      <c r="GW6" s="932" t="s">
        <v>491</v>
      </c>
      <c r="GX6" s="931" t="s">
        <v>493</v>
      </c>
      <c r="GY6" s="931" t="s">
        <v>492</v>
      </c>
      <c r="GZ6" s="932" t="s">
        <v>491</v>
      </c>
      <c r="HA6" s="931" t="s">
        <v>493</v>
      </c>
      <c r="HB6" s="931" t="s">
        <v>492</v>
      </c>
      <c r="HC6" s="932" t="s">
        <v>491</v>
      </c>
      <c r="HD6" s="931" t="s">
        <v>493</v>
      </c>
      <c r="HE6" s="931" t="s">
        <v>492</v>
      </c>
      <c r="HF6" s="932" t="s">
        <v>491</v>
      </c>
      <c r="HG6" s="931" t="s">
        <v>493</v>
      </c>
      <c r="HH6" s="931" t="s">
        <v>492</v>
      </c>
      <c r="HI6" s="932" t="s">
        <v>491</v>
      </c>
      <c r="HJ6" s="931" t="s">
        <v>493</v>
      </c>
      <c r="HK6" s="931" t="s">
        <v>492</v>
      </c>
      <c r="HL6" s="932" t="s">
        <v>491</v>
      </c>
      <c r="HM6" s="931" t="s">
        <v>493</v>
      </c>
      <c r="HN6" s="931" t="s">
        <v>492</v>
      </c>
      <c r="HO6" s="932" t="s">
        <v>491</v>
      </c>
      <c r="HP6" s="931" t="s">
        <v>493</v>
      </c>
      <c r="HQ6" s="931" t="s">
        <v>492</v>
      </c>
      <c r="HR6" s="932" t="s">
        <v>491</v>
      </c>
      <c r="HS6" s="931" t="s">
        <v>493</v>
      </c>
      <c r="HT6" s="931" t="s">
        <v>492</v>
      </c>
      <c r="HU6" s="932" t="s">
        <v>491</v>
      </c>
      <c r="HV6" s="931" t="s">
        <v>493</v>
      </c>
      <c r="HW6" s="931" t="s">
        <v>492</v>
      </c>
      <c r="HX6" s="932" t="s">
        <v>491</v>
      </c>
      <c r="HY6" s="931" t="s">
        <v>493</v>
      </c>
      <c r="HZ6" s="931" t="s">
        <v>492</v>
      </c>
      <c r="IA6" s="932" t="s">
        <v>491</v>
      </c>
      <c r="IB6" s="931" t="s">
        <v>493</v>
      </c>
      <c r="IC6" s="931" t="s">
        <v>492</v>
      </c>
      <c r="ID6" s="932" t="s">
        <v>491</v>
      </c>
      <c r="IE6" s="931" t="s">
        <v>493</v>
      </c>
      <c r="IF6" s="931" t="s">
        <v>492</v>
      </c>
      <c r="IG6" s="932" t="s">
        <v>491</v>
      </c>
      <c r="IH6" s="931" t="s">
        <v>493</v>
      </c>
      <c r="II6" s="931" t="s">
        <v>492</v>
      </c>
      <c r="IJ6" s="932" t="s">
        <v>491</v>
      </c>
      <c r="IK6" s="931" t="s">
        <v>493</v>
      </c>
      <c r="IL6" s="931" t="s">
        <v>492</v>
      </c>
      <c r="IM6" s="932" t="s">
        <v>491</v>
      </c>
      <c r="IN6" s="935" t="s">
        <v>493</v>
      </c>
      <c r="IO6" s="933" t="s">
        <v>492</v>
      </c>
      <c r="IP6" s="934" t="s">
        <v>491</v>
      </c>
      <c r="IQ6" s="935" t="s">
        <v>493</v>
      </c>
      <c r="IR6" s="933" t="s">
        <v>492</v>
      </c>
      <c r="IS6" s="936" t="s">
        <v>491</v>
      </c>
      <c r="IT6" s="935" t="s">
        <v>493</v>
      </c>
      <c r="IU6" s="933" t="s">
        <v>492</v>
      </c>
      <c r="IV6" s="936" t="s">
        <v>491</v>
      </c>
      <c r="IW6" s="935" t="s">
        <v>493</v>
      </c>
      <c r="IX6" s="933" t="s">
        <v>492</v>
      </c>
      <c r="IY6" s="936" t="s">
        <v>491</v>
      </c>
      <c r="IZ6" s="935" t="s">
        <v>493</v>
      </c>
      <c r="JA6" s="933" t="s">
        <v>492</v>
      </c>
      <c r="JB6" s="936" t="s">
        <v>491</v>
      </c>
    </row>
    <row r="7" spans="1:262" x14ac:dyDescent="0.35">
      <c r="A7" s="350"/>
      <c r="B7" s="377"/>
      <c r="C7" s="928"/>
      <c r="D7" s="404"/>
      <c r="E7" s="377"/>
      <c r="F7" s="928"/>
      <c r="G7" s="404"/>
      <c r="H7" s="377"/>
      <c r="I7" s="928"/>
      <c r="J7" s="404"/>
      <c r="K7" s="377"/>
      <c r="L7" s="928"/>
      <c r="M7" s="404"/>
      <c r="N7" s="377"/>
      <c r="O7" s="928"/>
      <c r="P7" s="404"/>
      <c r="Q7" s="377"/>
      <c r="R7" s="928"/>
      <c r="S7" s="404"/>
      <c r="T7" s="343"/>
      <c r="U7" s="929"/>
      <c r="V7" s="404"/>
      <c r="W7" s="377"/>
      <c r="X7" s="928"/>
      <c r="Y7" s="930"/>
      <c r="Z7" s="131"/>
      <c r="AA7" s="928"/>
      <c r="AB7" s="404"/>
      <c r="AC7" s="377"/>
      <c r="AD7" s="928"/>
      <c r="AE7" s="930"/>
      <c r="AF7" s="377"/>
      <c r="AH7" s="930"/>
      <c r="AI7" s="377"/>
      <c r="AJ7" s="928"/>
      <c r="AK7" s="930"/>
      <c r="AL7" s="377"/>
      <c r="AN7" s="930"/>
      <c r="AO7" s="377"/>
      <c r="AQ7" s="930"/>
      <c r="AR7" s="377"/>
      <c r="AS7" s="928"/>
      <c r="AT7" s="930"/>
      <c r="AV7" s="928"/>
      <c r="AW7" s="930"/>
      <c r="AX7" s="377"/>
      <c r="AZ7" s="930"/>
      <c r="BA7" s="377"/>
      <c r="BC7" s="930"/>
      <c r="BD7" s="377"/>
      <c r="BE7" s="928"/>
      <c r="BF7" s="930"/>
      <c r="BG7" s="377"/>
      <c r="BH7" s="928"/>
      <c r="BI7" s="930"/>
      <c r="BJ7" s="377"/>
      <c r="BK7" s="928"/>
      <c r="BL7" s="930"/>
      <c r="BM7" s="377"/>
      <c r="BN7" s="928"/>
      <c r="BO7" s="930"/>
      <c r="BP7" s="377"/>
      <c r="BQ7" s="928"/>
      <c r="BR7" s="930"/>
      <c r="BS7" s="377"/>
      <c r="BT7" s="928"/>
      <c r="BU7" s="930"/>
      <c r="BV7" s="131"/>
      <c r="BW7" s="928"/>
      <c r="BX7" s="930"/>
      <c r="BY7" s="377"/>
      <c r="BZ7" s="928"/>
      <c r="CA7" s="930"/>
      <c r="CB7" s="377"/>
      <c r="CC7" s="928"/>
      <c r="CD7" s="930"/>
      <c r="CE7" s="377"/>
      <c r="CF7" s="928"/>
      <c r="CG7" s="930"/>
      <c r="CH7" s="377"/>
      <c r="CI7" s="928"/>
      <c r="CJ7" s="930"/>
      <c r="CK7" s="377"/>
      <c r="CL7" s="928"/>
      <c r="CM7" s="930"/>
      <c r="CN7" s="377"/>
      <c r="CO7" s="928"/>
      <c r="CP7" s="930"/>
      <c r="CQ7" s="377"/>
      <c r="CR7" s="928"/>
      <c r="CS7" s="930"/>
      <c r="CT7" s="377"/>
      <c r="CU7" s="928"/>
      <c r="CV7" s="930"/>
      <c r="CW7" s="377"/>
      <c r="CX7" s="928"/>
      <c r="CY7" s="930"/>
      <c r="CZ7" s="377"/>
      <c r="DA7" s="928"/>
      <c r="DB7" s="930"/>
      <c r="DC7" s="377"/>
      <c r="DD7" s="928"/>
      <c r="DE7" s="930"/>
      <c r="DF7" s="377"/>
      <c r="DG7" s="928"/>
      <c r="DH7" s="930"/>
      <c r="DI7" s="377"/>
      <c r="DJ7" s="928"/>
      <c r="DK7" s="339"/>
      <c r="DL7" s="377"/>
      <c r="DM7" s="928"/>
      <c r="DN7" s="339"/>
      <c r="DO7" s="377"/>
      <c r="DP7" s="928"/>
      <c r="DQ7" s="339"/>
      <c r="DR7" s="377"/>
      <c r="DS7" s="928"/>
      <c r="DT7" s="339"/>
      <c r="DU7" s="377"/>
      <c r="DV7" s="928"/>
      <c r="DW7" s="339"/>
      <c r="DX7" s="377"/>
      <c r="DY7" s="928"/>
      <c r="DZ7" s="339"/>
      <c r="EA7" s="377"/>
      <c r="EB7" s="928"/>
      <c r="EC7" s="339"/>
      <c r="ED7" s="377"/>
      <c r="EE7" s="928"/>
      <c r="EF7" s="339"/>
      <c r="EG7" s="377"/>
      <c r="EH7" s="928"/>
      <c r="EI7" s="339"/>
      <c r="EJ7" s="377"/>
      <c r="EK7" s="928"/>
      <c r="EL7" s="339"/>
      <c r="EM7" s="377"/>
      <c r="EN7" s="928"/>
      <c r="EO7" s="339"/>
      <c r="EP7" s="377"/>
      <c r="EQ7" s="928"/>
      <c r="ER7" s="339"/>
      <c r="ES7" s="377"/>
      <c r="ET7" s="928"/>
      <c r="EU7" s="339"/>
      <c r="EV7" s="377"/>
      <c r="EW7" s="928"/>
      <c r="EX7" s="339"/>
      <c r="EY7" s="377"/>
      <c r="EZ7" s="928"/>
      <c r="FA7" s="339"/>
      <c r="FB7" s="377"/>
      <c r="FC7" s="928"/>
      <c r="FD7" s="339"/>
      <c r="FE7" s="377"/>
      <c r="FF7" s="928"/>
      <c r="FG7" s="339"/>
      <c r="FH7" s="377"/>
      <c r="FI7" s="928"/>
      <c r="FJ7" s="339"/>
      <c r="FK7" s="377"/>
      <c r="FL7" s="928"/>
      <c r="FM7" s="339"/>
      <c r="FN7" s="377"/>
      <c r="FO7" s="928"/>
      <c r="FP7" s="339"/>
      <c r="FQ7" s="377"/>
      <c r="FR7" s="928"/>
      <c r="FS7" s="339"/>
      <c r="FT7" s="377"/>
      <c r="FU7" s="928"/>
      <c r="FV7" s="339"/>
      <c r="FW7" s="377"/>
      <c r="FX7" s="928"/>
      <c r="FY7" s="339"/>
      <c r="FZ7" s="377"/>
      <c r="GA7" s="928"/>
      <c r="GB7" s="339"/>
      <c r="GC7" s="377"/>
      <c r="GD7" s="928"/>
      <c r="GE7" s="339"/>
      <c r="GF7" s="377"/>
      <c r="GG7" s="928"/>
      <c r="GH7" s="339"/>
      <c r="GI7" s="377"/>
      <c r="GJ7" s="928"/>
      <c r="GK7" s="339"/>
      <c r="GL7" s="377"/>
      <c r="GM7" s="928"/>
      <c r="GN7" s="339"/>
      <c r="GO7" s="377"/>
      <c r="GP7" s="928"/>
      <c r="GQ7" s="339"/>
      <c r="GR7" s="377"/>
      <c r="GS7" s="928"/>
      <c r="GT7" s="339"/>
      <c r="GU7" s="377"/>
      <c r="GV7" s="928"/>
      <c r="GW7" s="339"/>
      <c r="GX7" s="377"/>
      <c r="GY7" s="928"/>
      <c r="GZ7" s="339"/>
      <c r="HA7" s="377"/>
      <c r="HB7" s="928"/>
      <c r="HC7" s="339"/>
      <c r="HD7" s="377"/>
      <c r="HE7" s="928"/>
      <c r="HF7" s="339"/>
      <c r="HG7" s="377"/>
      <c r="HH7" s="928"/>
      <c r="HI7" s="339"/>
      <c r="HJ7" s="377"/>
      <c r="HK7" s="928"/>
      <c r="HL7" s="339"/>
      <c r="HM7" s="377"/>
      <c r="HN7" s="928"/>
      <c r="HO7" s="339"/>
      <c r="HP7" s="377"/>
      <c r="HQ7" s="928"/>
      <c r="HR7" s="339"/>
      <c r="HS7" s="377"/>
      <c r="HT7" s="928"/>
      <c r="HU7" s="339"/>
      <c r="HV7" s="377"/>
      <c r="HW7" s="928"/>
      <c r="HX7" s="339"/>
      <c r="HY7" s="377"/>
      <c r="HZ7" s="928"/>
      <c r="IA7" s="339"/>
      <c r="IB7" s="377"/>
      <c r="IC7" s="928"/>
      <c r="ID7" s="339"/>
      <c r="IE7" s="377"/>
      <c r="IF7" s="928"/>
      <c r="IG7" s="339"/>
      <c r="IH7" s="377"/>
      <c r="II7" s="928"/>
      <c r="IJ7" s="339"/>
      <c r="IK7" s="377"/>
      <c r="IL7" s="928"/>
      <c r="IM7" s="339"/>
      <c r="IN7" s="377"/>
      <c r="IO7" s="928"/>
      <c r="IP7" s="339"/>
      <c r="IQ7" s="377"/>
      <c r="IR7" s="928"/>
      <c r="IS7" s="339"/>
      <c r="IT7" s="377"/>
      <c r="IU7" s="928"/>
      <c r="IV7" s="339"/>
      <c r="IW7" s="377"/>
      <c r="IX7" s="928"/>
      <c r="IY7" s="339"/>
      <c r="IZ7" s="377"/>
      <c r="JA7" s="928"/>
      <c r="JB7" s="339"/>
    </row>
    <row r="8" spans="1:262" x14ac:dyDescent="0.35">
      <c r="A8" s="366" t="s">
        <v>490</v>
      </c>
      <c r="B8" s="368">
        <v>55.6</v>
      </c>
      <c r="C8" s="365">
        <v>1692</v>
      </c>
      <c r="D8" s="364">
        <v>22.736129214313546</v>
      </c>
      <c r="E8" s="368">
        <v>113.9</v>
      </c>
      <c r="F8" s="365">
        <v>3433.7</v>
      </c>
      <c r="G8" s="364">
        <v>39.086386868376415</v>
      </c>
      <c r="H8" s="368">
        <v>109</v>
      </c>
      <c r="I8" s="365">
        <v>3210.1</v>
      </c>
      <c r="J8" s="364">
        <v>36.269857410797016</v>
      </c>
      <c r="K8" s="368">
        <v>115.7</v>
      </c>
      <c r="L8" s="365">
        <v>3412.6</v>
      </c>
      <c r="M8" s="364">
        <v>35.153175796781973</v>
      </c>
      <c r="N8" s="368">
        <v>112.2</v>
      </c>
      <c r="O8" s="365">
        <v>3018.2</v>
      </c>
      <c r="P8" s="364">
        <v>33.686771730880835</v>
      </c>
      <c r="Q8" s="369">
        <v>118226</v>
      </c>
      <c r="R8" s="347">
        <v>3377899</v>
      </c>
      <c r="S8" s="361">
        <v>37.147911835625806</v>
      </c>
      <c r="T8" s="369">
        <v>121551</v>
      </c>
      <c r="U8" s="347">
        <v>3357627</v>
      </c>
      <c r="V8" s="364">
        <v>36.074299825130872</v>
      </c>
      <c r="W8" s="369">
        <v>124230.58</v>
      </c>
      <c r="X8" s="347">
        <v>3691172</v>
      </c>
      <c r="Y8" s="344">
        <v>37.261265246466003</v>
      </c>
      <c r="Z8" s="360">
        <v>122179.38</v>
      </c>
      <c r="AA8" s="347">
        <v>3760810.15</v>
      </c>
      <c r="AB8" s="361">
        <v>39.677698172201673</v>
      </c>
      <c r="AC8" s="369">
        <v>116369.43860000001</v>
      </c>
      <c r="AD8" s="347">
        <v>3637243.1728816004</v>
      </c>
      <c r="AE8" s="344">
        <v>39.298256946163576</v>
      </c>
      <c r="AF8" s="369">
        <v>106655.42</v>
      </c>
      <c r="AG8" s="360">
        <v>3562291.0279999999</v>
      </c>
      <c r="AH8" s="344">
        <v>36.529611032142512</v>
      </c>
      <c r="AI8" s="369">
        <v>138725.55499999999</v>
      </c>
      <c r="AJ8" s="347">
        <v>4435416.6797930002</v>
      </c>
      <c r="AK8" s="344">
        <v>31.220354653400783</v>
      </c>
      <c r="AL8" s="369">
        <v>153084</v>
      </c>
      <c r="AM8" s="360">
        <v>4768553</v>
      </c>
      <c r="AN8" s="344">
        <v>36.535108237995999</v>
      </c>
      <c r="AO8" s="369">
        <v>141154.70000000001</v>
      </c>
      <c r="AP8" s="360">
        <v>4107591.6</v>
      </c>
      <c r="AQ8" s="344">
        <v>29.294945056888693</v>
      </c>
      <c r="AR8" s="369">
        <v>140387.92000000001</v>
      </c>
      <c r="AS8" s="347">
        <v>3769426.4219999998</v>
      </c>
      <c r="AT8" s="344">
        <v>30.673967006295971</v>
      </c>
      <c r="AU8" s="348">
        <v>174500</v>
      </c>
      <c r="AV8" s="347">
        <v>4799436.5999999996</v>
      </c>
      <c r="AW8" s="344">
        <v>36.491311919339864</v>
      </c>
      <c r="AX8" s="369">
        <v>170871.3</v>
      </c>
      <c r="AY8" s="360">
        <v>4945007.8</v>
      </c>
      <c r="AZ8" s="344">
        <v>38.749245292052478</v>
      </c>
      <c r="BA8" s="393">
        <v>169.4</v>
      </c>
      <c r="BB8" s="360">
        <v>5421780</v>
      </c>
      <c r="BC8" s="344">
        <v>40.214854836803916</v>
      </c>
      <c r="BD8" s="369">
        <v>167600</v>
      </c>
      <c r="BE8" s="347">
        <v>5708100</v>
      </c>
      <c r="BF8" s="344">
        <v>40.543350935904272</v>
      </c>
      <c r="BG8" s="369">
        <v>207400</v>
      </c>
      <c r="BH8" s="347">
        <v>6737100</v>
      </c>
      <c r="BI8" s="344">
        <v>36.535108237995999</v>
      </c>
      <c r="BJ8" s="369">
        <v>204800</v>
      </c>
      <c r="BK8" s="347">
        <v>6358300</v>
      </c>
      <c r="BL8" s="344">
        <v>28.562680355741776</v>
      </c>
      <c r="BM8" s="369">
        <v>201900</v>
      </c>
      <c r="BN8" s="359">
        <v>6229.1</v>
      </c>
      <c r="BO8" s="344">
        <v>28.815346967475126</v>
      </c>
      <c r="BP8" s="369">
        <v>199700</v>
      </c>
      <c r="BQ8" s="340">
        <v>6235</v>
      </c>
      <c r="BR8" s="344">
        <v>29.667025113481714</v>
      </c>
      <c r="BS8" s="369">
        <v>298100</v>
      </c>
      <c r="BT8" s="340">
        <v>6418.1</v>
      </c>
      <c r="BU8" s="344">
        <v>29.966336254593166</v>
      </c>
      <c r="BV8" s="360">
        <v>294050</v>
      </c>
      <c r="BW8" s="340">
        <v>9078</v>
      </c>
      <c r="BX8" s="344">
        <v>37.323312474817662</v>
      </c>
      <c r="BY8" s="369">
        <v>318000</v>
      </c>
      <c r="BZ8" s="340">
        <v>9812</v>
      </c>
      <c r="CA8" s="344">
        <v>36.623282583785276</v>
      </c>
      <c r="CB8" s="369">
        <v>378000</v>
      </c>
      <c r="CC8" s="340">
        <v>10863</v>
      </c>
      <c r="CD8" s="344">
        <v>37.029588219252794</v>
      </c>
      <c r="CE8" s="369">
        <v>375000</v>
      </c>
      <c r="CF8" s="340">
        <v>10837</v>
      </c>
      <c r="CG8" s="344">
        <v>36.419545637854547</v>
      </c>
      <c r="CH8" s="369">
        <v>375000</v>
      </c>
      <c r="CI8" s="340">
        <v>10903</v>
      </c>
      <c r="CJ8" s="344">
        <v>35.245551877521464</v>
      </c>
      <c r="CK8" s="369">
        <v>380000</v>
      </c>
      <c r="CL8" s="340">
        <v>11248</v>
      </c>
      <c r="CM8" s="344">
        <v>35.877414580622116</v>
      </c>
      <c r="CN8" s="368">
        <v>378</v>
      </c>
      <c r="CO8" s="340">
        <v>10955</v>
      </c>
      <c r="CP8" s="344">
        <v>34.995527728085868</v>
      </c>
      <c r="CQ8" s="367">
        <v>394</v>
      </c>
      <c r="CR8" s="352">
        <v>12320</v>
      </c>
      <c r="CS8" s="354">
        <v>35.935130089837827</v>
      </c>
      <c r="CT8" s="367">
        <v>391</v>
      </c>
      <c r="CU8" s="352">
        <v>11990</v>
      </c>
      <c r="CV8" s="354">
        <v>33.983334278102149</v>
      </c>
      <c r="CW8" s="367">
        <v>406</v>
      </c>
      <c r="CX8" s="352">
        <v>12526</v>
      </c>
      <c r="CY8" s="354">
        <v>34.845745124767021</v>
      </c>
      <c r="CZ8" s="367">
        <v>424</v>
      </c>
      <c r="DA8" s="352">
        <v>13336</v>
      </c>
      <c r="DB8" s="354">
        <v>35.696886961642441</v>
      </c>
      <c r="DC8" s="367">
        <v>542</v>
      </c>
      <c r="DD8" s="352">
        <v>16948</v>
      </c>
      <c r="DE8" s="354">
        <v>39.849517987303081</v>
      </c>
      <c r="DF8" s="367">
        <v>563</v>
      </c>
      <c r="DG8" s="352">
        <v>17353</v>
      </c>
      <c r="DH8" s="354">
        <v>38.027304801349899</v>
      </c>
      <c r="DI8" s="367">
        <v>564</v>
      </c>
      <c r="DJ8" s="352">
        <v>17163</v>
      </c>
      <c r="DK8" s="351">
        <v>36.391586446715571</v>
      </c>
      <c r="DL8" s="367">
        <v>610</v>
      </c>
      <c r="DM8" s="352">
        <v>18510</v>
      </c>
      <c r="DN8" s="351">
        <v>37.958329915511442</v>
      </c>
      <c r="DO8" s="367">
        <v>651</v>
      </c>
      <c r="DP8" s="352">
        <v>19922</v>
      </c>
      <c r="DQ8" s="351">
        <v>38.71657338308458</v>
      </c>
      <c r="DR8" s="367">
        <v>649</v>
      </c>
      <c r="DS8" s="352">
        <v>20525</v>
      </c>
      <c r="DT8" s="351">
        <v>40.008966686809224</v>
      </c>
      <c r="DU8" s="367">
        <v>634</v>
      </c>
      <c r="DV8" s="352">
        <v>20320</v>
      </c>
      <c r="DW8" s="351">
        <v>39.510781854595656</v>
      </c>
      <c r="DX8" s="367">
        <v>640</v>
      </c>
      <c r="DY8" s="352">
        <v>23519</v>
      </c>
      <c r="DZ8" s="351">
        <v>41.995214627526607</v>
      </c>
      <c r="EA8" s="367">
        <v>636</v>
      </c>
      <c r="EB8" s="352">
        <v>22566</v>
      </c>
      <c r="EC8" s="351">
        <v>41.245818939518564</v>
      </c>
      <c r="ED8" s="367">
        <v>632</v>
      </c>
      <c r="EE8" s="352">
        <v>22670</v>
      </c>
      <c r="EF8" s="351">
        <v>41.556679865082856</v>
      </c>
      <c r="EG8" s="367">
        <v>631</v>
      </c>
      <c r="EH8" s="352">
        <v>22865</v>
      </c>
      <c r="EI8" s="351">
        <v>41.819079669324751</v>
      </c>
      <c r="EJ8" s="367">
        <v>628</v>
      </c>
      <c r="EK8" s="352">
        <v>22439</v>
      </c>
      <c r="EL8" s="351">
        <v>41.535243595439063</v>
      </c>
      <c r="EM8" s="367">
        <v>622</v>
      </c>
      <c r="EN8" s="352">
        <v>22339</v>
      </c>
      <c r="EO8" s="351">
        <v>41.783256022744276</v>
      </c>
      <c r="EP8" s="367">
        <v>615</v>
      </c>
      <c r="EQ8" s="352">
        <v>21979</v>
      </c>
      <c r="ER8" s="351">
        <v>41.38859596263935</v>
      </c>
      <c r="ES8" s="367">
        <v>576</v>
      </c>
      <c r="ET8" s="352">
        <v>20963</v>
      </c>
      <c r="EU8" s="351">
        <v>40.596858841528359</v>
      </c>
      <c r="EV8" s="367">
        <v>450</v>
      </c>
      <c r="EW8" s="352">
        <v>16031</v>
      </c>
      <c r="EX8" s="351">
        <v>34.772140641606839</v>
      </c>
      <c r="EY8" s="367">
        <v>445</v>
      </c>
      <c r="EZ8" s="352">
        <v>15507</v>
      </c>
      <c r="FA8" s="351">
        <v>33.542355686972627</v>
      </c>
      <c r="FB8" s="367">
        <v>434</v>
      </c>
      <c r="FC8" s="352">
        <v>14817</v>
      </c>
      <c r="FD8" s="351">
        <v>32.915914134715997</v>
      </c>
      <c r="FE8" s="367">
        <v>430.4</v>
      </c>
      <c r="FF8" s="352">
        <v>14556</v>
      </c>
      <c r="FG8" s="351">
        <v>32.255133764849532</v>
      </c>
      <c r="FH8" s="367">
        <v>402</v>
      </c>
      <c r="FI8" s="352">
        <v>13490</v>
      </c>
      <c r="FJ8" s="351">
        <v>30.284662356321839</v>
      </c>
      <c r="FK8" s="367">
        <v>399</v>
      </c>
      <c r="FL8" s="352">
        <v>13930</v>
      </c>
      <c r="FM8" s="351">
        <v>31.276732849999661</v>
      </c>
      <c r="FN8" s="367">
        <v>380</v>
      </c>
      <c r="FO8" s="352">
        <v>13134</v>
      </c>
      <c r="FP8" s="351">
        <v>31.213163998631128</v>
      </c>
      <c r="FQ8" s="367">
        <v>377</v>
      </c>
      <c r="FR8" s="352">
        <v>13042</v>
      </c>
      <c r="FS8" s="351">
        <v>31.491499926957683</v>
      </c>
      <c r="FT8" s="367">
        <v>360</v>
      </c>
      <c r="FU8" s="352">
        <v>12653</v>
      </c>
      <c r="FV8" s="351">
        <v>31.431729825738095</v>
      </c>
      <c r="FW8" s="367">
        <v>358</v>
      </c>
      <c r="FX8" s="352">
        <v>12790</v>
      </c>
      <c r="FY8" s="351">
        <v>31.770082964876543</v>
      </c>
      <c r="FZ8" s="367">
        <v>339</v>
      </c>
      <c r="GA8" s="352">
        <v>12473</v>
      </c>
      <c r="GB8" s="351">
        <v>31.816442619187306</v>
      </c>
      <c r="GC8" s="367">
        <v>336</v>
      </c>
      <c r="GD8" s="352">
        <v>12410</v>
      </c>
      <c r="GE8" s="351">
        <v>31.345111955849109</v>
      </c>
      <c r="GF8" s="367">
        <v>140.1</v>
      </c>
      <c r="GG8" s="352">
        <v>5573.8</v>
      </c>
      <c r="GH8" s="351">
        <v>16.577688022532662</v>
      </c>
      <c r="GI8" s="367">
        <v>137</v>
      </c>
      <c r="GJ8" s="352">
        <v>5578</v>
      </c>
      <c r="GK8" s="351">
        <v>12.767749644068651</v>
      </c>
      <c r="GL8" s="367">
        <v>140</v>
      </c>
      <c r="GM8" s="352">
        <v>5677</v>
      </c>
      <c r="GN8" s="351">
        <v>9.6291823421455263</v>
      </c>
      <c r="GO8" s="367">
        <v>135</v>
      </c>
      <c r="GP8" s="352">
        <v>5375</v>
      </c>
      <c r="GQ8" s="351">
        <v>8.9902712720272095</v>
      </c>
      <c r="GR8" s="367">
        <v>123</v>
      </c>
      <c r="GS8" s="352">
        <v>5034</v>
      </c>
      <c r="GT8" s="351">
        <v>7.1819791388758505</v>
      </c>
      <c r="GU8" s="367">
        <v>120</v>
      </c>
      <c r="GV8" s="352">
        <v>5171</v>
      </c>
      <c r="GW8" s="351">
        <v>7.1878944237174114</v>
      </c>
      <c r="GX8" s="367">
        <v>111</v>
      </c>
      <c r="GY8" s="352">
        <v>4805</v>
      </c>
      <c r="GZ8" s="351">
        <v>6.1892028358270474</v>
      </c>
      <c r="HA8" s="367">
        <v>109</v>
      </c>
      <c r="HB8" s="352">
        <v>4780</v>
      </c>
      <c r="HC8" s="351">
        <v>6.2065952215709039</v>
      </c>
      <c r="HD8" s="367">
        <v>111</v>
      </c>
      <c r="HE8" s="352">
        <v>4977</v>
      </c>
      <c r="HF8" s="351">
        <v>6.5261646489580372</v>
      </c>
      <c r="HG8" s="367">
        <v>116</v>
      </c>
      <c r="HH8" s="352">
        <v>5321</v>
      </c>
      <c r="HI8" s="351">
        <v>7.2718973488529111</v>
      </c>
      <c r="HJ8" s="367">
        <v>102</v>
      </c>
      <c r="HK8" s="352">
        <v>4614</v>
      </c>
      <c r="HL8" s="351">
        <v>6.84615441683792</v>
      </c>
      <c r="HM8" s="367">
        <v>354</v>
      </c>
      <c r="HN8" s="352">
        <v>15679</v>
      </c>
      <c r="HO8" s="351">
        <v>19.170258772206001</v>
      </c>
      <c r="HP8" s="367">
        <v>355</v>
      </c>
      <c r="HQ8" s="352">
        <v>16547</v>
      </c>
      <c r="HR8" s="351">
        <v>19.275887375790688</v>
      </c>
      <c r="HS8" s="367">
        <v>353</v>
      </c>
      <c r="HT8" s="352">
        <v>16389</v>
      </c>
      <c r="HU8" s="351">
        <v>19.540024322197581</v>
      </c>
      <c r="HV8" s="367">
        <v>353</v>
      </c>
      <c r="HW8" s="352">
        <v>15899</v>
      </c>
      <c r="HX8" s="351">
        <v>19.994227718395656</v>
      </c>
      <c r="HY8" s="367">
        <v>351</v>
      </c>
      <c r="HZ8" s="352">
        <v>15727</v>
      </c>
      <c r="IA8" s="351">
        <v>18.734540013854055</v>
      </c>
      <c r="IB8" s="367">
        <v>347</v>
      </c>
      <c r="IC8" s="352">
        <v>16378</v>
      </c>
      <c r="ID8" s="351">
        <v>19.144360023378141</v>
      </c>
      <c r="IE8" s="367">
        <v>345</v>
      </c>
      <c r="IF8" s="352">
        <v>16573</v>
      </c>
      <c r="IG8" s="351">
        <v>19.392709684477936</v>
      </c>
      <c r="IH8" s="367">
        <v>583</v>
      </c>
      <c r="II8" s="352">
        <v>27126</v>
      </c>
      <c r="IJ8" s="351">
        <v>27.95918367346939</v>
      </c>
      <c r="IK8" s="367">
        <v>581</v>
      </c>
      <c r="IL8" s="352">
        <v>27744</v>
      </c>
      <c r="IM8" s="351">
        <v>28.680928495439062</v>
      </c>
      <c r="IN8" s="367">
        <v>577.96</v>
      </c>
      <c r="IO8" s="352">
        <v>26714</v>
      </c>
      <c r="IP8" s="351">
        <v>28.253732350407201</v>
      </c>
      <c r="IQ8" s="367">
        <v>575.51</v>
      </c>
      <c r="IR8" s="352">
        <v>26331.35</v>
      </c>
      <c r="IS8" s="351">
        <v>27.109875128000855</v>
      </c>
      <c r="IT8" s="367">
        <v>573</v>
      </c>
      <c r="IU8" s="352">
        <v>26520</v>
      </c>
      <c r="IV8" s="351">
        <v>27.342179332529152</v>
      </c>
      <c r="IW8" s="367">
        <v>571</v>
      </c>
      <c r="IX8" s="352">
        <v>26557</v>
      </c>
      <c r="IY8" s="351">
        <v>26.872482949831017</v>
      </c>
      <c r="IZ8" s="367">
        <v>569.87</v>
      </c>
      <c r="JA8" s="352">
        <v>26936</v>
      </c>
      <c r="JB8" s="351">
        <v>27.262881954636086</v>
      </c>
    </row>
    <row r="9" spans="1:262" x14ac:dyDescent="0.35">
      <c r="A9" s="400"/>
      <c r="B9" s="368"/>
      <c r="C9" s="365"/>
      <c r="D9" s="364"/>
      <c r="E9" s="368"/>
      <c r="F9" s="365"/>
      <c r="G9" s="364"/>
      <c r="H9" s="368"/>
      <c r="I9" s="365"/>
      <c r="J9" s="364"/>
      <c r="K9" s="368"/>
      <c r="L9" s="365"/>
      <c r="M9" s="364"/>
      <c r="N9" s="368"/>
      <c r="O9" s="365"/>
      <c r="P9" s="364"/>
      <c r="Q9" s="369"/>
      <c r="R9" s="347"/>
      <c r="S9" s="361"/>
      <c r="T9" s="369"/>
      <c r="U9" s="347"/>
      <c r="V9" s="364"/>
      <c r="W9" s="369"/>
      <c r="X9" s="347"/>
      <c r="Y9" s="344"/>
      <c r="Z9" s="360"/>
      <c r="AA9" s="347"/>
      <c r="AB9" s="361"/>
      <c r="AC9" s="369"/>
      <c r="AD9" s="347"/>
      <c r="AE9" s="344"/>
      <c r="AF9" s="377"/>
      <c r="AH9" s="344"/>
      <c r="AI9" s="369"/>
      <c r="AJ9" s="347"/>
      <c r="AK9" s="344"/>
      <c r="AL9" s="377"/>
      <c r="AN9" s="344"/>
      <c r="AO9" s="377"/>
      <c r="AQ9" s="344"/>
      <c r="AR9" s="369"/>
      <c r="AS9" s="347"/>
      <c r="AT9" s="344"/>
      <c r="AU9" s="348"/>
      <c r="AV9" s="347"/>
      <c r="AW9" s="344"/>
      <c r="AX9" s="377"/>
      <c r="AZ9" s="344"/>
      <c r="BA9" s="377"/>
      <c r="BC9" s="344"/>
      <c r="BD9" s="369"/>
      <c r="BE9" s="347"/>
      <c r="BF9" s="344"/>
      <c r="BG9" s="369"/>
      <c r="BH9" s="347"/>
      <c r="BI9" s="344"/>
      <c r="BJ9" s="369"/>
      <c r="BK9" s="347"/>
      <c r="BL9" s="344"/>
      <c r="BM9" s="369"/>
      <c r="BN9" s="359"/>
      <c r="BO9" s="344"/>
      <c r="BP9" s="369"/>
      <c r="BQ9" s="121"/>
      <c r="BR9" s="344"/>
      <c r="BS9" s="369"/>
      <c r="BT9" s="340"/>
      <c r="BU9" s="344"/>
      <c r="BV9" s="360"/>
      <c r="BW9" s="121"/>
      <c r="BX9" s="344"/>
      <c r="BY9" s="369"/>
      <c r="BZ9" s="340"/>
      <c r="CA9" s="344"/>
      <c r="CB9" s="369"/>
      <c r="CC9" s="340"/>
      <c r="CD9" s="344"/>
      <c r="CE9" s="369"/>
      <c r="CF9" s="340"/>
      <c r="CG9" s="344"/>
      <c r="CH9" s="369"/>
      <c r="CI9" s="340"/>
      <c r="CJ9" s="344"/>
      <c r="CK9" s="369"/>
      <c r="CL9" s="340"/>
      <c r="CM9" s="344"/>
      <c r="CN9" s="368"/>
      <c r="CO9" s="340"/>
      <c r="CP9" s="344"/>
      <c r="CQ9" s="367"/>
      <c r="CR9" s="352"/>
      <c r="CS9" s="354"/>
      <c r="CT9" s="367"/>
      <c r="CU9" s="352"/>
      <c r="CV9" s="354"/>
      <c r="CW9" s="367"/>
      <c r="CX9" s="352"/>
      <c r="CY9" s="354"/>
      <c r="CZ9" s="367"/>
      <c r="DA9" s="352"/>
      <c r="DB9" s="354"/>
      <c r="DC9" s="367"/>
      <c r="DD9" s="352"/>
      <c r="DE9" s="354"/>
      <c r="DF9" s="367"/>
      <c r="DG9" s="352"/>
      <c r="DH9" s="354"/>
      <c r="DI9" s="367"/>
      <c r="DJ9" s="352"/>
      <c r="DK9" s="351"/>
      <c r="DL9" s="367"/>
      <c r="DM9" s="352"/>
      <c r="DN9" s="351"/>
      <c r="DO9" s="367"/>
      <c r="DP9" s="352"/>
      <c r="DQ9" s="351"/>
      <c r="DR9" s="367"/>
      <c r="DS9" s="352"/>
      <c r="DT9" s="351"/>
      <c r="DU9" s="367"/>
      <c r="DV9" s="352"/>
      <c r="DW9" s="351"/>
      <c r="DX9" s="367"/>
      <c r="DY9" s="352"/>
      <c r="DZ9" s="351"/>
      <c r="EA9" s="367"/>
      <c r="EB9" s="352"/>
      <c r="EC9" s="351"/>
      <c r="ED9" s="367"/>
      <c r="EE9" s="352"/>
      <c r="EF9" s="351"/>
      <c r="EG9" s="367"/>
      <c r="EH9" s="352"/>
      <c r="EI9" s="351"/>
      <c r="EJ9" s="367"/>
      <c r="EK9" s="352"/>
      <c r="EL9" s="351"/>
      <c r="EM9" s="367"/>
      <c r="EN9" s="352"/>
      <c r="EO9" s="351"/>
      <c r="EP9" s="367"/>
      <c r="EQ9" s="352"/>
      <c r="ER9" s="351"/>
      <c r="ES9" s="367"/>
      <c r="ET9" s="352"/>
      <c r="EU9" s="351"/>
      <c r="EV9" s="367"/>
      <c r="EW9" s="352"/>
      <c r="EX9" s="351"/>
      <c r="EY9" s="367"/>
      <c r="EZ9" s="352"/>
      <c r="FA9" s="351"/>
      <c r="FB9" s="367"/>
      <c r="FC9" s="352"/>
      <c r="FD9" s="351"/>
      <c r="FE9" s="367"/>
      <c r="FF9" s="352"/>
      <c r="FG9" s="351"/>
      <c r="FH9" s="367"/>
      <c r="FI9" s="352"/>
      <c r="FJ9" s="351"/>
      <c r="FK9" s="367"/>
      <c r="FL9" s="352"/>
      <c r="FM9" s="351"/>
      <c r="FN9" s="367"/>
      <c r="FO9" s="352"/>
      <c r="FP9" s="351"/>
      <c r="FQ9" s="367"/>
      <c r="FR9" s="352"/>
      <c r="FS9" s="351"/>
      <c r="FT9" s="367"/>
      <c r="FU9" s="352"/>
      <c r="FV9" s="351"/>
      <c r="FW9" s="367"/>
      <c r="FX9" s="352"/>
      <c r="FY9" s="351"/>
      <c r="FZ9" s="367"/>
      <c r="GA9" s="352"/>
      <c r="GB9" s="351"/>
      <c r="GC9" s="367"/>
      <c r="GD9" s="352"/>
      <c r="GE9" s="351"/>
      <c r="GF9" s="367"/>
      <c r="GG9" s="352"/>
      <c r="GH9" s="351"/>
      <c r="GI9" s="367"/>
      <c r="GJ9" s="352"/>
      <c r="GK9" s="351"/>
      <c r="GL9" s="367"/>
      <c r="GM9" s="352"/>
      <c r="GN9" s="351"/>
      <c r="GO9" s="367"/>
      <c r="GP9" s="352"/>
      <c r="GQ9" s="351"/>
      <c r="GR9" s="367"/>
      <c r="GS9" s="352"/>
      <c r="GT9" s="351"/>
      <c r="GU9" s="367"/>
      <c r="GV9" s="352"/>
      <c r="GW9" s="351"/>
      <c r="GX9" s="367"/>
      <c r="GY9" s="352"/>
      <c r="GZ9" s="351"/>
      <c r="HA9" s="367"/>
      <c r="HB9" s="352"/>
      <c r="HC9" s="351"/>
      <c r="HD9" s="367"/>
      <c r="HE9" s="352"/>
      <c r="HF9" s="351"/>
      <c r="HG9" s="367"/>
      <c r="HH9" s="352"/>
      <c r="HI9" s="351"/>
      <c r="HJ9" s="367"/>
      <c r="HK9" s="352"/>
      <c r="HL9" s="351"/>
      <c r="HM9" s="367"/>
      <c r="HN9" s="352"/>
      <c r="HO9" s="351"/>
      <c r="HP9" s="367"/>
      <c r="HQ9" s="352"/>
      <c r="HR9" s="351"/>
      <c r="HS9" s="367"/>
      <c r="HT9" s="352"/>
      <c r="HU9" s="351"/>
      <c r="HV9" s="367"/>
      <c r="HW9" s="352"/>
      <c r="HX9" s="351"/>
      <c r="HY9" s="367"/>
      <c r="HZ9" s="352"/>
      <c r="IA9" s="351"/>
      <c r="IB9" s="367"/>
      <c r="IC9" s="352"/>
      <c r="ID9" s="351"/>
      <c r="IE9" s="367"/>
      <c r="IF9" s="352"/>
      <c r="IG9" s="351"/>
      <c r="IH9" s="367"/>
      <c r="II9" s="352"/>
      <c r="IJ9" s="351"/>
      <c r="IK9" s="367"/>
      <c r="IL9" s="352"/>
      <c r="IM9" s="351"/>
      <c r="IN9" s="367"/>
      <c r="IO9" s="352"/>
      <c r="IP9" s="351"/>
      <c r="IQ9" s="367"/>
      <c r="IR9" s="352"/>
      <c r="IS9" s="351"/>
      <c r="IT9" s="367"/>
      <c r="IU9" s="352"/>
      <c r="IV9" s="351"/>
      <c r="IW9" s="367"/>
      <c r="IX9" s="352"/>
      <c r="IY9" s="351"/>
      <c r="IZ9" s="367"/>
      <c r="JA9" s="352"/>
      <c r="JB9" s="351"/>
    </row>
    <row r="10" spans="1:262" x14ac:dyDescent="0.35">
      <c r="A10" s="366" t="s">
        <v>489</v>
      </c>
      <c r="B10" s="368">
        <v>6.5</v>
      </c>
      <c r="C10" s="365">
        <v>288.3</v>
      </c>
      <c r="D10" s="364">
        <v>3.8740106693183187</v>
      </c>
      <c r="E10" s="368">
        <v>6.5</v>
      </c>
      <c r="F10" s="365">
        <v>300.60000000000002</v>
      </c>
      <c r="G10" s="364">
        <v>3.4217805552709772</v>
      </c>
      <c r="H10" s="368">
        <v>5.2</v>
      </c>
      <c r="I10" s="365">
        <v>246.5</v>
      </c>
      <c r="J10" s="364">
        <v>2.7851219126386915</v>
      </c>
      <c r="K10" s="368">
        <v>5.2</v>
      </c>
      <c r="L10" s="365">
        <v>254.2</v>
      </c>
      <c r="M10" s="364">
        <v>2.6185129483508107</v>
      </c>
      <c r="N10" s="368">
        <v>3.9</v>
      </c>
      <c r="O10" s="365">
        <v>187.3</v>
      </c>
      <c r="P10" s="364">
        <v>2.0904951113889014</v>
      </c>
      <c r="Q10" s="369">
        <v>3915</v>
      </c>
      <c r="R10" s="347">
        <v>202324</v>
      </c>
      <c r="S10" s="361">
        <v>2.2250263001443069</v>
      </c>
      <c r="T10" s="369">
        <v>2610</v>
      </c>
      <c r="U10" s="347">
        <v>143130</v>
      </c>
      <c r="V10" s="361">
        <v>1.5377868160968988</v>
      </c>
      <c r="W10" s="369">
        <v>2610</v>
      </c>
      <c r="X10" s="347">
        <v>140264</v>
      </c>
      <c r="Y10" s="344">
        <v>1.4159226686077777</v>
      </c>
      <c r="Z10" s="360">
        <v>1305</v>
      </c>
      <c r="AA10" s="347">
        <v>69438</v>
      </c>
      <c r="AB10" s="361">
        <v>0.73259215323095739</v>
      </c>
      <c r="AC10" s="357" t="s">
        <v>368</v>
      </c>
      <c r="AD10" s="357" t="s">
        <v>368</v>
      </c>
      <c r="AE10" s="357" t="s">
        <v>368</v>
      </c>
      <c r="AF10" s="357" t="s">
        <v>368</v>
      </c>
      <c r="AG10" s="357" t="s">
        <v>368</v>
      </c>
      <c r="AH10" s="357" t="s">
        <v>368</v>
      </c>
      <c r="AI10" s="357" t="s">
        <v>368</v>
      </c>
      <c r="AJ10" s="357" t="s">
        <v>368</v>
      </c>
      <c r="AK10" s="357" t="s">
        <v>368</v>
      </c>
      <c r="AL10" s="357" t="s">
        <v>368</v>
      </c>
      <c r="AM10" s="357" t="s">
        <v>368</v>
      </c>
      <c r="AN10" s="357" t="s">
        <v>368</v>
      </c>
      <c r="AO10" s="357" t="s">
        <v>368</v>
      </c>
      <c r="AP10" s="357" t="s">
        <v>368</v>
      </c>
      <c r="AQ10" s="357" t="s">
        <v>368</v>
      </c>
      <c r="AR10" s="357" t="s">
        <v>368</v>
      </c>
      <c r="AS10" s="357" t="s">
        <v>368</v>
      </c>
      <c r="AT10" s="357" t="s">
        <v>368</v>
      </c>
      <c r="AU10" s="386" t="s">
        <v>368</v>
      </c>
      <c r="AV10" s="386" t="s">
        <v>368</v>
      </c>
      <c r="AW10" s="386" t="s">
        <v>368</v>
      </c>
      <c r="AX10" s="386" t="s">
        <v>368</v>
      </c>
      <c r="AY10" s="386" t="s">
        <v>368</v>
      </c>
      <c r="AZ10" s="386" t="s">
        <v>368</v>
      </c>
      <c r="BA10" s="386" t="s">
        <v>368</v>
      </c>
      <c r="BB10" s="386" t="s">
        <v>368</v>
      </c>
      <c r="BC10" s="386" t="s">
        <v>368</v>
      </c>
      <c r="BD10" s="386" t="s">
        <v>368</v>
      </c>
      <c r="BE10" s="386" t="s">
        <v>368</v>
      </c>
      <c r="BF10" s="386" t="s">
        <v>368</v>
      </c>
      <c r="BG10" s="369">
        <v>28000</v>
      </c>
      <c r="BH10" s="362">
        <v>1513200</v>
      </c>
      <c r="BI10" s="401">
        <v>4.0126738400034023</v>
      </c>
      <c r="BJ10" s="369">
        <v>28000</v>
      </c>
      <c r="BK10" s="362">
        <v>1386300</v>
      </c>
      <c r="BL10" s="401">
        <v>6.2275205286263349</v>
      </c>
      <c r="BM10" s="369">
        <v>28000</v>
      </c>
      <c r="BN10" s="359">
        <v>1376.3</v>
      </c>
      <c r="BO10" s="344">
        <v>6.3666600361747303</v>
      </c>
      <c r="BP10" s="369">
        <v>28000</v>
      </c>
      <c r="BQ10" s="340">
        <v>1314.6</v>
      </c>
      <c r="BR10" s="344">
        <v>6.255055527535375</v>
      </c>
      <c r="BS10" s="369">
        <v>28000</v>
      </c>
      <c r="BT10" s="340">
        <v>1358.2</v>
      </c>
      <c r="BU10" s="344">
        <v>6.3414839128384486</v>
      </c>
      <c r="BV10" s="360">
        <v>28000</v>
      </c>
      <c r="BW10" s="340">
        <v>1354.9</v>
      </c>
      <c r="BX10" s="344">
        <v>5.5705393337883287</v>
      </c>
      <c r="BY10" s="369">
        <v>28000</v>
      </c>
      <c r="BZ10" s="340">
        <v>1330</v>
      </c>
      <c r="CA10" s="344">
        <v>4.9642239947446409</v>
      </c>
      <c r="CB10" s="369">
        <v>28000</v>
      </c>
      <c r="CC10" s="340">
        <v>1297</v>
      </c>
      <c r="CD10" s="344">
        <v>4.4211889828197437</v>
      </c>
      <c r="CE10" s="369">
        <v>28000</v>
      </c>
      <c r="CF10" s="340">
        <v>1302</v>
      </c>
      <c r="CG10" s="344">
        <v>4.3755881166823496</v>
      </c>
      <c r="CH10" s="369">
        <v>28000</v>
      </c>
      <c r="CI10" s="340">
        <v>1281</v>
      </c>
      <c r="CJ10" s="344">
        <v>4.1410209992758871</v>
      </c>
      <c r="CK10" s="369">
        <v>28000</v>
      </c>
      <c r="CL10" s="340">
        <v>1304</v>
      </c>
      <c r="CM10" s="344">
        <v>4.1593304243537732</v>
      </c>
      <c r="CN10" s="368">
        <v>28</v>
      </c>
      <c r="CO10" s="340">
        <v>1311</v>
      </c>
      <c r="CP10" s="344">
        <v>4.1879631995911062</v>
      </c>
      <c r="CQ10" s="367">
        <v>28</v>
      </c>
      <c r="CR10" s="352">
        <v>1368</v>
      </c>
      <c r="CS10" s="354">
        <v>3.9901995099754983</v>
      </c>
      <c r="CT10" s="367">
        <v>28</v>
      </c>
      <c r="CU10" s="352">
        <v>1398</v>
      </c>
      <c r="CV10" s="354">
        <v>3.9623604104075736</v>
      </c>
      <c r="CW10" s="367">
        <v>28</v>
      </c>
      <c r="CX10" s="352">
        <v>1397</v>
      </c>
      <c r="CY10" s="354">
        <v>3.8862770189445577</v>
      </c>
      <c r="CZ10" s="367">
        <v>38</v>
      </c>
      <c r="DA10" s="352">
        <v>1799</v>
      </c>
      <c r="DB10" s="354">
        <v>4.8154393854225219</v>
      </c>
      <c r="DC10" s="367">
        <v>38</v>
      </c>
      <c r="DD10" s="352">
        <v>1796</v>
      </c>
      <c r="DE10" s="354">
        <v>4.2229014813073125</v>
      </c>
      <c r="DF10" s="367">
        <v>38</v>
      </c>
      <c r="DG10" s="352">
        <v>1873</v>
      </c>
      <c r="DH10" s="354">
        <v>4.1044857887931983</v>
      </c>
      <c r="DI10" s="367">
        <v>38</v>
      </c>
      <c r="DJ10" s="352">
        <v>1887</v>
      </c>
      <c r="DK10" s="351">
        <v>4.0011025825876771</v>
      </c>
      <c r="DL10" s="367">
        <v>38</v>
      </c>
      <c r="DM10" s="352">
        <v>1897</v>
      </c>
      <c r="DN10" s="351">
        <v>3.8901648757279959</v>
      </c>
      <c r="DO10" s="367">
        <v>46</v>
      </c>
      <c r="DP10" s="352">
        <v>2409</v>
      </c>
      <c r="DQ10" s="351">
        <v>4.6816697761194028</v>
      </c>
      <c r="DR10" s="367">
        <v>46</v>
      </c>
      <c r="DS10" s="352">
        <v>2382</v>
      </c>
      <c r="DT10" s="351">
        <v>4.6431843433851192</v>
      </c>
      <c r="DU10" s="367">
        <v>45</v>
      </c>
      <c r="DV10" s="352">
        <v>2261</v>
      </c>
      <c r="DW10" s="351">
        <v>4.3963522526201171</v>
      </c>
      <c r="DX10" s="367">
        <v>45</v>
      </c>
      <c r="DY10" s="352">
        <v>2467</v>
      </c>
      <c r="DZ10" s="351">
        <v>4.4050424969645032</v>
      </c>
      <c r="EA10" s="367">
        <v>45</v>
      </c>
      <c r="EB10" s="352">
        <v>2482</v>
      </c>
      <c r="EC10" s="351">
        <v>4.5365648589863099</v>
      </c>
      <c r="ED10" s="367">
        <v>44</v>
      </c>
      <c r="EE10" s="352">
        <v>2415</v>
      </c>
      <c r="EF10" s="351">
        <v>4.4269687637483495</v>
      </c>
      <c r="EG10" s="367">
        <v>43</v>
      </c>
      <c r="EH10" s="352">
        <v>2339</v>
      </c>
      <c r="EI10" s="351">
        <v>4.2779281586070672</v>
      </c>
      <c r="EJ10" s="367">
        <v>43</v>
      </c>
      <c r="EK10" s="352">
        <v>2236</v>
      </c>
      <c r="EL10" s="351">
        <v>4.1389012290833698</v>
      </c>
      <c r="EM10" s="367">
        <v>43</v>
      </c>
      <c r="EN10" s="352">
        <v>2059</v>
      </c>
      <c r="EO10" s="351">
        <v>3.851189585515487</v>
      </c>
      <c r="EP10" s="367">
        <v>43</v>
      </c>
      <c r="EQ10" s="352">
        <v>1976</v>
      </c>
      <c r="ER10" s="351">
        <v>3.7210003012955712</v>
      </c>
      <c r="ES10" s="367">
        <v>42</v>
      </c>
      <c r="ET10" s="352">
        <v>1861</v>
      </c>
      <c r="EU10" s="351">
        <v>3.6040048802215465</v>
      </c>
      <c r="EV10" s="367">
        <v>42</v>
      </c>
      <c r="EW10" s="352">
        <v>1850</v>
      </c>
      <c r="EX10" s="351">
        <v>4.0127540507125348</v>
      </c>
      <c r="EY10" s="367">
        <v>41</v>
      </c>
      <c r="EZ10" s="352">
        <v>1843</v>
      </c>
      <c r="FA10" s="351">
        <v>3.9864939402263841</v>
      </c>
      <c r="FB10" s="367">
        <v>40</v>
      </c>
      <c r="FC10" s="352">
        <v>1846</v>
      </c>
      <c r="FD10" s="351">
        <v>4.1008826005727022</v>
      </c>
      <c r="FE10" s="367">
        <v>39.4</v>
      </c>
      <c r="FF10" s="352">
        <v>1797.5</v>
      </c>
      <c r="FG10" s="351">
        <v>3.9831411749324697</v>
      </c>
      <c r="FH10" s="367">
        <v>39.4</v>
      </c>
      <c r="FI10" s="352">
        <v>1842</v>
      </c>
      <c r="FJ10" s="351">
        <v>4.1352370689655169</v>
      </c>
      <c r="FK10" s="367">
        <v>38</v>
      </c>
      <c r="FL10" s="352">
        <v>1734</v>
      </c>
      <c r="FM10" s="351">
        <v>3.893313335384021</v>
      </c>
      <c r="FN10" s="367">
        <v>37</v>
      </c>
      <c r="FO10" s="352">
        <v>1687</v>
      </c>
      <c r="FP10" s="351">
        <v>4.0091828586638272</v>
      </c>
      <c r="FQ10" s="367">
        <v>36</v>
      </c>
      <c r="FR10" s="352">
        <v>1588</v>
      </c>
      <c r="FS10" s="351">
        <v>3.8344197120080361</v>
      </c>
      <c r="FT10" s="367">
        <v>36</v>
      </c>
      <c r="FU10" s="352">
        <v>1631</v>
      </c>
      <c r="FV10" s="351">
        <v>4.0516202754903059</v>
      </c>
      <c r="FW10" s="367">
        <v>34</v>
      </c>
      <c r="FX10" s="352">
        <v>1558</v>
      </c>
      <c r="FY10" s="351">
        <v>3.8700382532664315</v>
      </c>
      <c r="FZ10" s="367">
        <v>34</v>
      </c>
      <c r="GA10" s="352">
        <v>1541</v>
      </c>
      <c r="GB10" s="351">
        <v>3.9308216207943265</v>
      </c>
      <c r="GC10" s="367">
        <v>33</v>
      </c>
      <c r="GD10" s="352">
        <v>1587</v>
      </c>
      <c r="GE10" s="351">
        <v>4.0084361542250226</v>
      </c>
      <c r="GF10" s="367">
        <v>32.299999999999997</v>
      </c>
      <c r="GG10" s="352">
        <v>1587.5</v>
      </c>
      <c r="GH10" s="351">
        <v>4.7215687207597332</v>
      </c>
      <c r="GI10" s="367">
        <v>31</v>
      </c>
      <c r="GJ10" s="352">
        <v>1550</v>
      </c>
      <c r="GK10" s="351">
        <v>3.547868760901113</v>
      </c>
      <c r="GL10" s="367">
        <v>31</v>
      </c>
      <c r="GM10" s="352">
        <v>1593</v>
      </c>
      <c r="GN10" s="351">
        <v>2.7020058959023818</v>
      </c>
      <c r="GO10" s="367">
        <v>29</v>
      </c>
      <c r="GP10" s="352">
        <v>1600</v>
      </c>
      <c r="GQ10" s="351">
        <v>2.6761737739987974</v>
      </c>
      <c r="GR10" s="367">
        <v>29</v>
      </c>
      <c r="GS10" s="352">
        <v>1640</v>
      </c>
      <c r="GT10" s="351">
        <v>2.3397786626452906</v>
      </c>
      <c r="GU10" s="367">
        <v>28</v>
      </c>
      <c r="GV10" s="352">
        <v>1650</v>
      </c>
      <c r="GW10" s="351">
        <v>2.2935652289951127</v>
      </c>
      <c r="GX10" s="367">
        <v>27</v>
      </c>
      <c r="GY10" s="352">
        <v>1586</v>
      </c>
      <c r="GZ10" s="351">
        <v>2.0428877622521746</v>
      </c>
      <c r="HA10" s="367">
        <v>26</v>
      </c>
      <c r="HB10" s="352">
        <v>1547</v>
      </c>
      <c r="HC10" s="351">
        <v>2.0087035162699141</v>
      </c>
      <c r="HD10" s="367">
        <v>26</v>
      </c>
      <c r="HE10" s="352">
        <v>1513</v>
      </c>
      <c r="HF10" s="351">
        <v>1.9839435631652618</v>
      </c>
      <c r="HG10" s="367">
        <v>24</v>
      </c>
      <c r="HH10" s="352">
        <v>1353</v>
      </c>
      <c r="HI10" s="351">
        <v>1.8490654224765999</v>
      </c>
      <c r="HJ10" s="367">
        <v>24</v>
      </c>
      <c r="HK10" s="352">
        <v>1215</v>
      </c>
      <c r="HL10" s="351">
        <v>1.802790987528841</v>
      </c>
      <c r="HM10" s="367">
        <v>23</v>
      </c>
      <c r="HN10" s="352">
        <v>1212</v>
      </c>
      <c r="HO10" s="351">
        <v>1.4818772646159621</v>
      </c>
      <c r="HP10" s="367">
        <v>22</v>
      </c>
      <c r="HQ10" s="352">
        <v>1283</v>
      </c>
      <c r="HR10" s="351">
        <v>1.494588958913365</v>
      </c>
      <c r="HS10" s="367">
        <v>21</v>
      </c>
      <c r="HT10" s="352">
        <v>1230</v>
      </c>
      <c r="HU10" s="351">
        <v>1.4664854424493885</v>
      </c>
      <c r="HV10" s="367">
        <v>21</v>
      </c>
      <c r="HW10" s="352">
        <v>1138</v>
      </c>
      <c r="HX10" s="351">
        <v>1.4311234130155519</v>
      </c>
      <c r="HY10" s="367">
        <v>19</v>
      </c>
      <c r="HZ10" s="352">
        <v>1103</v>
      </c>
      <c r="IA10" s="351">
        <v>1.3139313050983035</v>
      </c>
      <c r="IB10" s="367">
        <v>19</v>
      </c>
      <c r="IC10" s="352">
        <v>1128</v>
      </c>
      <c r="ID10" s="351">
        <v>1.3185271770894214</v>
      </c>
      <c r="IE10" s="367">
        <v>18</v>
      </c>
      <c r="IF10" s="352">
        <v>1072</v>
      </c>
      <c r="IG10" s="351">
        <v>1.2543887516901191</v>
      </c>
      <c r="IH10" s="367">
        <v>17</v>
      </c>
      <c r="II10" s="352">
        <v>1079</v>
      </c>
      <c r="IJ10" s="351">
        <v>1.1121418264275407</v>
      </c>
      <c r="IK10" s="367">
        <v>16</v>
      </c>
      <c r="IL10" s="352">
        <v>958.37</v>
      </c>
      <c r="IM10" s="351">
        <v>0.99073462522253219</v>
      </c>
      <c r="IN10" s="367">
        <v>15.6</v>
      </c>
      <c r="IO10" s="352">
        <v>934.09</v>
      </c>
      <c r="IP10" s="351">
        <v>0.98792875837358185</v>
      </c>
      <c r="IQ10" s="367">
        <v>14.3</v>
      </c>
      <c r="IR10" s="352">
        <v>897.02</v>
      </c>
      <c r="IS10" s="351">
        <v>0.92354171690093079</v>
      </c>
      <c r="IT10" s="367">
        <v>14</v>
      </c>
      <c r="IU10" s="352">
        <v>868</v>
      </c>
      <c r="IV10" s="351">
        <v>0.89490994195457407</v>
      </c>
      <c r="IW10" s="367">
        <v>13</v>
      </c>
      <c r="IX10" s="352">
        <v>790</v>
      </c>
      <c r="IY10" s="351">
        <v>0.79938477728532975</v>
      </c>
      <c r="IZ10" s="367">
        <v>12.26</v>
      </c>
      <c r="JA10" s="352">
        <v>766</v>
      </c>
      <c r="JB10" s="351">
        <v>0.77529579660124903</v>
      </c>
    </row>
    <row r="11" spans="1:262" x14ac:dyDescent="0.35">
      <c r="A11" s="366"/>
      <c r="B11" s="368"/>
      <c r="C11" s="365"/>
      <c r="D11" s="364"/>
      <c r="E11" s="368"/>
      <c r="F11" s="365"/>
      <c r="G11" s="364"/>
      <c r="H11" s="368"/>
      <c r="I11" s="365"/>
      <c r="J11" s="364"/>
      <c r="K11" s="368"/>
      <c r="L11" s="365"/>
      <c r="M11" s="364"/>
      <c r="N11" s="368"/>
      <c r="O11" s="365"/>
      <c r="P11" s="364"/>
      <c r="Q11" s="369"/>
      <c r="R11" s="347"/>
      <c r="S11" s="361"/>
      <c r="T11" s="369"/>
      <c r="U11" s="347"/>
      <c r="V11" s="364"/>
      <c r="W11" s="369"/>
      <c r="X11" s="347"/>
      <c r="Y11" s="344"/>
      <c r="Z11" s="360"/>
      <c r="AA11" s="347"/>
      <c r="AB11" s="361"/>
      <c r="AC11" s="369"/>
      <c r="AD11" s="347"/>
      <c r="AE11" s="344"/>
      <c r="AF11" s="377"/>
      <c r="AH11" s="344"/>
      <c r="AI11" s="369"/>
      <c r="AJ11" s="347"/>
      <c r="AK11" s="344"/>
      <c r="AL11" s="377"/>
      <c r="AN11" s="344"/>
      <c r="AO11" s="377"/>
      <c r="AQ11" s="344"/>
      <c r="AR11" s="369"/>
      <c r="AS11" s="347"/>
      <c r="AT11" s="344"/>
      <c r="AU11" s="348"/>
      <c r="AV11" s="347"/>
      <c r="AW11" s="344"/>
      <c r="AX11" s="377"/>
      <c r="AZ11" s="344"/>
      <c r="BA11" s="377"/>
      <c r="BC11" s="344"/>
      <c r="BD11" s="369"/>
      <c r="BE11" s="347"/>
      <c r="BF11" s="344"/>
      <c r="BG11" s="369"/>
      <c r="BH11" s="347"/>
      <c r="BI11" s="344"/>
      <c r="BJ11" s="369"/>
      <c r="BK11" s="347"/>
      <c r="BL11" s="344"/>
      <c r="BM11" s="369"/>
      <c r="BN11" s="359"/>
      <c r="BO11" s="344"/>
      <c r="BP11" s="369"/>
      <c r="BQ11" s="340"/>
      <c r="BR11" s="344"/>
      <c r="BS11" s="369"/>
      <c r="BT11" s="340"/>
      <c r="BU11" s="344"/>
      <c r="BV11" s="360"/>
      <c r="BW11" s="340"/>
      <c r="BX11" s="344"/>
      <c r="BY11" s="369"/>
      <c r="BZ11" s="340"/>
      <c r="CA11" s="344"/>
      <c r="CB11" s="360"/>
      <c r="CC11" s="340"/>
      <c r="CD11" s="344"/>
      <c r="CE11" s="369"/>
      <c r="CF11" s="340"/>
      <c r="CG11" s="344"/>
      <c r="CH11" s="369"/>
      <c r="CI11" s="340"/>
      <c r="CJ11" s="344"/>
      <c r="CK11" s="369"/>
      <c r="CL11" s="340"/>
      <c r="CM11" s="344"/>
      <c r="CN11" s="368"/>
      <c r="CO11" s="340"/>
      <c r="CP11" s="344"/>
      <c r="CQ11" s="367"/>
      <c r="CR11" s="352"/>
      <c r="CS11" s="354"/>
      <c r="CT11" s="367"/>
      <c r="CU11" s="352"/>
      <c r="CV11" s="354"/>
      <c r="CW11" s="367"/>
      <c r="CX11" s="352"/>
      <c r="CY11" s="354"/>
      <c r="CZ11" s="367"/>
      <c r="DA11" s="352"/>
      <c r="DB11" s="354"/>
      <c r="DC11" s="367"/>
      <c r="DD11" s="352"/>
      <c r="DE11" s="354"/>
      <c r="DF11" s="367"/>
      <c r="DG11" s="352"/>
      <c r="DH11" s="354"/>
      <c r="DI11" s="367"/>
      <c r="DJ11" s="352"/>
      <c r="DK11" s="351"/>
      <c r="DL11" s="367"/>
      <c r="DM11" s="352"/>
      <c r="DN11" s="351"/>
      <c r="DO11" s="367"/>
      <c r="DP11" s="352"/>
      <c r="DQ11" s="351"/>
      <c r="DR11" s="367"/>
      <c r="DS11" s="352"/>
      <c r="DT11" s="351"/>
      <c r="DU11" s="367"/>
      <c r="DV11" s="352"/>
      <c r="DW11" s="351"/>
      <c r="DX11" s="367"/>
      <c r="DY11" s="352"/>
      <c r="DZ11" s="351"/>
      <c r="EA11" s="367"/>
      <c r="EB11" s="352"/>
      <c r="EC11" s="351"/>
      <c r="ED11" s="367"/>
      <c r="EE11" s="352"/>
      <c r="EF11" s="351"/>
      <c r="EG11" s="367"/>
      <c r="EH11" s="352"/>
      <c r="EI11" s="351"/>
      <c r="EJ11" s="367"/>
      <c r="EK11" s="352"/>
      <c r="EL11" s="351"/>
      <c r="EM11" s="367"/>
      <c r="EN11" s="352"/>
      <c r="EO11" s="351"/>
      <c r="EP11" s="367"/>
      <c r="EQ11" s="352"/>
      <c r="ER11" s="351"/>
      <c r="ES11" s="367"/>
      <c r="ET11" s="352"/>
      <c r="EU11" s="351"/>
      <c r="EV11" s="367"/>
      <c r="EW11" s="352"/>
      <c r="EX11" s="351"/>
      <c r="EY11" s="367"/>
      <c r="EZ11" s="352"/>
      <c r="FA11" s="351"/>
      <c r="FB11" s="367"/>
      <c r="FC11" s="352"/>
      <c r="FD11" s="351"/>
      <c r="FE11" s="367"/>
      <c r="FF11" s="352"/>
      <c r="FG11" s="351"/>
      <c r="FH11" s="367"/>
      <c r="FI11" s="352"/>
      <c r="FJ11" s="351"/>
      <c r="FK11" s="367"/>
      <c r="FL11" s="352"/>
      <c r="FM11" s="351"/>
      <c r="FN11" s="367"/>
      <c r="FO11" s="352"/>
      <c r="FP11" s="351"/>
      <c r="FQ11" s="367"/>
      <c r="FR11" s="352"/>
      <c r="FS11" s="351"/>
      <c r="FT11" s="367"/>
      <c r="FU11" s="352"/>
      <c r="FV11" s="351"/>
      <c r="FW11" s="367"/>
      <c r="FX11" s="352"/>
      <c r="FY11" s="351"/>
      <c r="FZ11" s="367"/>
      <c r="GA11" s="352"/>
      <c r="GB11" s="351"/>
      <c r="GC11" s="367"/>
      <c r="GD11" s="352"/>
      <c r="GE11" s="351"/>
      <c r="GF11" s="367"/>
      <c r="GG11" s="352"/>
      <c r="GH11" s="351"/>
      <c r="GI11" s="367"/>
      <c r="GJ11" s="352"/>
      <c r="GK11" s="351"/>
      <c r="GL11" s="367"/>
      <c r="GM11" s="352"/>
      <c r="GN11" s="351"/>
      <c r="GO11" s="367"/>
      <c r="GP11" s="352"/>
      <c r="GQ11" s="351"/>
      <c r="GR11" s="367"/>
      <c r="GS11" s="352"/>
      <c r="GT11" s="351"/>
      <c r="GU11" s="367"/>
      <c r="GV11" s="352"/>
      <c r="GW11" s="351"/>
      <c r="GX11" s="367"/>
      <c r="GY11" s="352"/>
      <c r="GZ11" s="351"/>
      <c r="HA11" s="367"/>
      <c r="HB11" s="352"/>
      <c r="HC11" s="351"/>
      <c r="HD11" s="367"/>
      <c r="HE11" s="352"/>
      <c r="HF11" s="351"/>
      <c r="HG11" s="367"/>
      <c r="HH11" s="352"/>
      <c r="HI11" s="351"/>
      <c r="HJ11" s="367"/>
      <c r="HK11" s="352"/>
      <c r="HL11" s="351"/>
      <c r="HM11" s="367"/>
      <c r="HN11" s="352"/>
      <c r="HO11" s="351"/>
      <c r="HP11" s="367"/>
      <c r="HQ11" s="352"/>
      <c r="HR11" s="351"/>
      <c r="HS11" s="367"/>
      <c r="HT11" s="352"/>
      <c r="HU11" s="351"/>
      <c r="HV11" s="367"/>
      <c r="HW11" s="352"/>
      <c r="HX11" s="351"/>
      <c r="HY11" s="367"/>
      <c r="HZ11" s="352"/>
      <c r="IA11" s="351"/>
      <c r="IB11" s="367"/>
      <c r="IC11" s="352"/>
      <c r="ID11" s="351"/>
      <c r="IE11" s="367"/>
      <c r="IF11" s="352"/>
      <c r="IG11" s="351"/>
      <c r="IH11" s="367"/>
      <c r="II11" s="352"/>
      <c r="IJ11" s="351"/>
      <c r="IK11" s="367"/>
      <c r="IL11" s="352"/>
      <c r="IM11" s="351"/>
      <c r="IN11" s="367"/>
      <c r="IO11" s="352"/>
      <c r="IP11" s="351"/>
      <c r="IQ11" s="367"/>
      <c r="IR11" s="352"/>
      <c r="IS11" s="351"/>
      <c r="IT11" s="367"/>
      <c r="IU11" s="352"/>
      <c r="IV11" s="351"/>
      <c r="IW11" s="367"/>
      <c r="IX11" s="352"/>
      <c r="IY11" s="351"/>
      <c r="IZ11" s="367"/>
      <c r="JA11" s="352"/>
      <c r="JB11" s="351"/>
    </row>
    <row r="12" spans="1:262" x14ac:dyDescent="0.35">
      <c r="A12" s="366" t="s">
        <v>488</v>
      </c>
      <c r="B12" s="368">
        <v>8625</v>
      </c>
      <c r="C12" s="365">
        <v>2004.5</v>
      </c>
      <c r="D12" s="364">
        <v>26.935325656082448</v>
      </c>
      <c r="E12" s="368">
        <v>6242</v>
      </c>
      <c r="F12" s="365">
        <v>1578.6</v>
      </c>
      <c r="G12" s="364">
        <v>17.969470341153571</v>
      </c>
      <c r="H12" s="368">
        <v>6814.5</v>
      </c>
      <c r="I12" s="365">
        <v>1694.9</v>
      </c>
      <c r="J12" s="364">
        <v>19.150114116557074</v>
      </c>
      <c r="K12" s="368">
        <v>6344.3</v>
      </c>
      <c r="L12" s="365">
        <v>1562.5</v>
      </c>
      <c r="M12" s="364">
        <v>16.095304806444304</v>
      </c>
      <c r="N12" s="368">
        <v>5290</v>
      </c>
      <c r="O12" s="365">
        <v>1338.9</v>
      </c>
      <c r="P12" s="364">
        <v>14.943747488727176</v>
      </c>
      <c r="Q12" s="369">
        <v>4892910</v>
      </c>
      <c r="R12" s="347">
        <v>1285406</v>
      </c>
      <c r="S12" s="361">
        <v>14.136049882185473</v>
      </c>
      <c r="T12" s="369">
        <v>4371763</v>
      </c>
      <c r="U12" s="347">
        <v>1212290</v>
      </c>
      <c r="V12" s="364">
        <v>13.024827634221403</v>
      </c>
      <c r="W12" s="369">
        <v>5755917</v>
      </c>
      <c r="X12" s="347">
        <v>1546292.72</v>
      </c>
      <c r="Y12" s="344">
        <v>15.609357458443926</v>
      </c>
      <c r="Z12" s="360">
        <v>5674656</v>
      </c>
      <c r="AA12" s="347">
        <v>1491867.85</v>
      </c>
      <c r="AB12" s="361">
        <v>15.739662440847072</v>
      </c>
      <c r="AC12" s="369">
        <v>4766651.16</v>
      </c>
      <c r="AD12" s="347">
        <v>1297482.445752</v>
      </c>
      <c r="AE12" s="344">
        <v>14.018528900255802</v>
      </c>
      <c r="AF12" s="369">
        <v>5542625</v>
      </c>
      <c r="AG12" s="360">
        <v>1577997.17</v>
      </c>
      <c r="AH12" s="344">
        <v>16.181615251768157</v>
      </c>
      <c r="AI12" s="369">
        <v>5491700</v>
      </c>
      <c r="AJ12" s="347">
        <v>1423994.0989999999</v>
      </c>
      <c r="AK12" s="344">
        <v>10.023320018087846</v>
      </c>
      <c r="AL12" s="369">
        <v>4477000</v>
      </c>
      <c r="AM12" s="360">
        <v>1213791</v>
      </c>
      <c r="AN12" s="344">
        <v>1.7713605239654657</v>
      </c>
      <c r="AO12" s="369">
        <v>4761289.3</v>
      </c>
      <c r="AP12" s="360">
        <v>1317425.3999999999</v>
      </c>
      <c r="AQ12" s="344">
        <v>9.3957502273472375</v>
      </c>
      <c r="AR12" s="369">
        <v>4979846</v>
      </c>
      <c r="AS12" s="347">
        <v>1338582.4820000001</v>
      </c>
      <c r="AT12" s="344">
        <v>10.892807098828621</v>
      </c>
      <c r="AU12" s="348">
        <v>4904940</v>
      </c>
      <c r="AV12" s="347">
        <v>1280883.3999999999</v>
      </c>
      <c r="AW12" s="344">
        <v>9.738875534204281</v>
      </c>
      <c r="AX12" s="369">
        <v>4702431</v>
      </c>
      <c r="AY12" s="360">
        <v>1304821.2</v>
      </c>
      <c r="AZ12" s="344">
        <v>10.224622242470531</v>
      </c>
      <c r="BA12" s="369">
        <v>4610238</v>
      </c>
      <c r="BB12" s="360">
        <v>1662881</v>
      </c>
      <c r="BC12" s="344">
        <v>12.334052290185019</v>
      </c>
      <c r="BD12" s="369">
        <v>4303000</v>
      </c>
      <c r="BE12" s="347">
        <v>1504700</v>
      </c>
      <c r="BF12" s="344">
        <v>10.687545795142896</v>
      </c>
      <c r="BG12" s="369">
        <v>4302900</v>
      </c>
      <c r="BH12" s="347">
        <v>1465000</v>
      </c>
      <c r="BI12" s="344">
        <v>1.7713605239654657</v>
      </c>
      <c r="BJ12" s="369">
        <v>4138000</v>
      </c>
      <c r="BK12" s="347">
        <v>1428600</v>
      </c>
      <c r="BL12" s="344">
        <v>6.4175400903091555</v>
      </c>
      <c r="BM12" s="369">
        <v>4134000</v>
      </c>
      <c r="BN12" s="359">
        <v>1368.2</v>
      </c>
      <c r="BO12" s="344">
        <v>6.3291900468606164</v>
      </c>
      <c r="BP12" s="369">
        <v>3972000</v>
      </c>
      <c r="BQ12" s="340">
        <v>1325.6</v>
      </c>
      <c r="BR12" s="344">
        <v>6.3073951067251581</v>
      </c>
      <c r="BS12" s="369">
        <v>3969000</v>
      </c>
      <c r="BT12" s="340">
        <v>1446.2</v>
      </c>
      <c r="BU12" s="344">
        <v>6.7523590301479626</v>
      </c>
      <c r="BV12" s="360">
        <v>3807000</v>
      </c>
      <c r="BW12" s="340">
        <v>1391.8</v>
      </c>
      <c r="BX12" s="344">
        <v>5.722250088395155</v>
      </c>
      <c r="BY12" s="369">
        <v>3803000</v>
      </c>
      <c r="BZ12" s="340">
        <v>1435</v>
      </c>
      <c r="CA12" s="344">
        <v>5.3561364153823758</v>
      </c>
      <c r="CB12" s="360">
        <v>3641000</v>
      </c>
      <c r="CC12" s="340">
        <v>1265</v>
      </c>
      <c r="CD12" s="344">
        <v>4.3121079901827102</v>
      </c>
      <c r="CE12" s="369">
        <v>3641000</v>
      </c>
      <c r="CF12" s="340">
        <v>1278</v>
      </c>
      <c r="CG12" s="344">
        <v>4.2949321145315231</v>
      </c>
      <c r="CH12" s="369">
        <v>3476000</v>
      </c>
      <c r="CI12" s="340">
        <v>1338</v>
      </c>
      <c r="CJ12" s="344">
        <v>4.3252818868314886</v>
      </c>
      <c r="CK12" s="369">
        <v>3476000</v>
      </c>
      <c r="CL12" s="340">
        <v>1318</v>
      </c>
      <c r="CM12" s="344">
        <v>4.2039858123453016</v>
      </c>
      <c r="CN12" s="368">
        <v>3328</v>
      </c>
      <c r="CO12" s="340">
        <v>1173</v>
      </c>
      <c r="CP12" s="344">
        <v>3.7471249680552008</v>
      </c>
      <c r="CQ12" s="367">
        <v>3328</v>
      </c>
      <c r="CR12" s="352">
        <v>1313</v>
      </c>
      <c r="CS12" s="354">
        <v>3.8297748220744374</v>
      </c>
      <c r="CT12" s="367">
        <v>3175</v>
      </c>
      <c r="CU12" s="352">
        <v>1259</v>
      </c>
      <c r="CV12" s="354">
        <v>3.5683918145229865</v>
      </c>
      <c r="CW12" s="367">
        <v>3175</v>
      </c>
      <c r="CX12" s="352">
        <v>1138</v>
      </c>
      <c r="CY12" s="354">
        <v>3.1657718307508276</v>
      </c>
      <c r="CZ12" s="367">
        <v>3023</v>
      </c>
      <c r="DA12" s="352">
        <v>1011</v>
      </c>
      <c r="DB12" s="354">
        <v>2.7061752188227737</v>
      </c>
      <c r="DC12" s="367">
        <v>3023</v>
      </c>
      <c r="DD12" s="352">
        <v>957</v>
      </c>
      <c r="DE12" s="354">
        <v>2.250176346108629</v>
      </c>
      <c r="DF12" s="367">
        <v>2871</v>
      </c>
      <c r="DG12" s="352">
        <v>904</v>
      </c>
      <c r="DH12" s="354">
        <v>1.9810225056428463</v>
      </c>
      <c r="DI12" s="367">
        <v>2871</v>
      </c>
      <c r="DJ12" s="352">
        <v>833</v>
      </c>
      <c r="DK12" s="351">
        <v>1.7662524914125781</v>
      </c>
      <c r="DL12" s="367">
        <v>2728</v>
      </c>
      <c r="DM12" s="352">
        <v>811</v>
      </c>
      <c r="DN12" s="351">
        <v>1.6631121319005824</v>
      </c>
      <c r="DO12" s="367">
        <v>2730</v>
      </c>
      <c r="DP12" s="352">
        <v>825</v>
      </c>
      <c r="DQ12" s="351">
        <v>1.6033115671641791</v>
      </c>
      <c r="DR12" s="367">
        <v>2582</v>
      </c>
      <c r="DS12" s="352">
        <v>747</v>
      </c>
      <c r="DT12" s="351">
        <v>1.4561119666283309</v>
      </c>
      <c r="DU12" s="367">
        <v>2587</v>
      </c>
      <c r="DV12" s="352">
        <v>694</v>
      </c>
      <c r="DW12" s="351">
        <v>1.3494331991677848</v>
      </c>
      <c r="DX12" s="367">
        <v>2449</v>
      </c>
      <c r="DY12" s="352">
        <v>750</v>
      </c>
      <c r="DZ12" s="351">
        <v>1.3391900578530105</v>
      </c>
      <c r="EA12" s="367">
        <v>2465</v>
      </c>
      <c r="EB12" s="352">
        <v>718</v>
      </c>
      <c r="EC12" s="351">
        <v>1.3123503500210196</v>
      </c>
      <c r="ED12" s="367">
        <v>2310</v>
      </c>
      <c r="EE12" s="352">
        <v>691</v>
      </c>
      <c r="EF12" s="351">
        <v>1.2666813315735446</v>
      </c>
      <c r="EG12" s="367">
        <v>2310</v>
      </c>
      <c r="EH12" s="352">
        <v>696</v>
      </c>
      <c r="EI12" s="351">
        <v>1.2729533982003072</v>
      </c>
      <c r="EJ12" s="367">
        <v>2172</v>
      </c>
      <c r="EK12" s="352">
        <v>692</v>
      </c>
      <c r="EL12" s="351">
        <v>1.28091218717607</v>
      </c>
      <c r="EM12" s="367">
        <v>2183</v>
      </c>
      <c r="EN12" s="352">
        <v>763</v>
      </c>
      <c r="EO12" s="351">
        <v>1.4271285350890319</v>
      </c>
      <c r="EP12" s="367">
        <v>2044</v>
      </c>
      <c r="EQ12" s="352">
        <v>724</v>
      </c>
      <c r="ER12" s="351">
        <v>1.3633624585718591</v>
      </c>
      <c r="ES12" s="367">
        <v>2044</v>
      </c>
      <c r="ET12" s="352">
        <v>637</v>
      </c>
      <c r="EU12" s="351">
        <v>1.2336115576040436</v>
      </c>
      <c r="EV12" s="367">
        <v>1890</v>
      </c>
      <c r="EW12" s="352">
        <v>603</v>
      </c>
      <c r="EX12" s="351">
        <v>1.3079409149079235</v>
      </c>
      <c r="EY12" s="367">
        <v>1890</v>
      </c>
      <c r="EZ12" s="352">
        <v>588</v>
      </c>
      <c r="FA12" s="351">
        <v>1.2718710997575224</v>
      </c>
      <c r="FB12" s="367">
        <v>1846</v>
      </c>
      <c r="FC12" s="352">
        <v>528</v>
      </c>
      <c r="FD12" s="351">
        <v>1.1729501696112603</v>
      </c>
      <c r="FE12" s="367">
        <v>1735.3</v>
      </c>
      <c r="FF12" s="352">
        <v>521.6</v>
      </c>
      <c r="FG12" s="351">
        <v>1.1558311192460509</v>
      </c>
      <c r="FH12" s="367">
        <v>1581</v>
      </c>
      <c r="FI12" s="352">
        <v>500</v>
      </c>
      <c r="FJ12" s="351">
        <v>1.1224856321839081</v>
      </c>
      <c r="FK12" s="367">
        <v>1581</v>
      </c>
      <c r="FL12" s="352">
        <v>499</v>
      </c>
      <c r="FM12" s="351">
        <v>1.1203940913244674</v>
      </c>
      <c r="FN12" s="367">
        <v>1426</v>
      </c>
      <c r="FO12" s="352">
        <v>435</v>
      </c>
      <c r="FP12" s="351">
        <v>1.0337845545458002</v>
      </c>
      <c r="FQ12" s="367">
        <v>1426</v>
      </c>
      <c r="FR12" s="352">
        <v>449</v>
      </c>
      <c r="FS12" s="351">
        <v>1.0841652712163778</v>
      </c>
      <c r="FT12" s="367">
        <v>1264</v>
      </c>
      <c r="FU12" s="352">
        <v>401</v>
      </c>
      <c r="FV12" s="351">
        <v>0.99613717380233746</v>
      </c>
      <c r="FW12" s="367">
        <v>1264</v>
      </c>
      <c r="FX12" s="352">
        <v>420</v>
      </c>
      <c r="FY12" s="351">
        <v>1.0432709026777287</v>
      </c>
      <c r="FZ12" s="367">
        <v>1102.3</v>
      </c>
      <c r="GA12" s="352">
        <v>377</v>
      </c>
      <c r="GB12" s="351">
        <v>0.96166109736499761</v>
      </c>
      <c r="GC12" s="367">
        <v>1102.3</v>
      </c>
      <c r="GD12" s="352">
        <v>375</v>
      </c>
      <c r="GE12" s="351">
        <v>0.94717300430647988</v>
      </c>
      <c r="GF12" s="367">
        <v>1789.7</v>
      </c>
      <c r="GG12" s="352">
        <v>657.9</v>
      </c>
      <c r="GH12" s="351">
        <v>1.9567370465435139</v>
      </c>
      <c r="GI12" s="367">
        <v>1789.7</v>
      </c>
      <c r="GJ12" s="352">
        <v>676</v>
      </c>
      <c r="GK12" s="351">
        <v>1.5473285692704211</v>
      </c>
      <c r="GL12" s="367">
        <v>1777</v>
      </c>
      <c r="GM12" s="352">
        <v>681</v>
      </c>
      <c r="GN12" s="351">
        <v>1.1550947991899072</v>
      </c>
      <c r="GO12" s="367">
        <v>1807</v>
      </c>
      <c r="GP12" s="352">
        <v>700</v>
      </c>
      <c r="GQ12" s="351">
        <v>1.1708260261244738</v>
      </c>
      <c r="GR12" s="367">
        <v>30996</v>
      </c>
      <c r="GS12" s="352">
        <v>11520</v>
      </c>
      <c r="GT12" s="351">
        <v>16.435518410776677</v>
      </c>
      <c r="GU12" s="367">
        <v>31023</v>
      </c>
      <c r="GV12" s="352">
        <v>12105</v>
      </c>
      <c r="GW12" s="351">
        <v>16.826428543627785</v>
      </c>
      <c r="GX12" s="367">
        <v>31052</v>
      </c>
      <c r="GY12" s="352">
        <v>12000</v>
      </c>
      <c r="GZ12" s="351">
        <v>15.456906145665883</v>
      </c>
      <c r="HA12" s="367">
        <v>31088</v>
      </c>
      <c r="HB12" s="352">
        <v>11886</v>
      </c>
      <c r="HC12" s="351">
        <v>15.433387197404135</v>
      </c>
      <c r="HD12" s="367">
        <v>30975</v>
      </c>
      <c r="HE12" s="352">
        <v>11433</v>
      </c>
      <c r="HF12" s="351">
        <v>14.991689859661891</v>
      </c>
      <c r="HG12" s="367">
        <v>31055</v>
      </c>
      <c r="HH12" s="352">
        <v>10444</v>
      </c>
      <c r="HI12" s="351">
        <v>14.273199757831199</v>
      </c>
      <c r="HJ12" s="367">
        <v>30995</v>
      </c>
      <c r="HK12" s="352">
        <v>9740</v>
      </c>
      <c r="HL12" s="351">
        <v>14.452003472041902</v>
      </c>
      <c r="HM12" s="367">
        <v>31143</v>
      </c>
      <c r="HN12" s="352">
        <v>10483</v>
      </c>
      <c r="HO12" s="351">
        <v>12.817260202119746</v>
      </c>
      <c r="HP12" s="367">
        <v>31033</v>
      </c>
      <c r="HQ12" s="352">
        <v>10842</v>
      </c>
      <c r="HR12" s="351">
        <v>12.630033899094858</v>
      </c>
      <c r="HS12" s="367">
        <v>31099</v>
      </c>
      <c r="HT12" s="352">
        <v>9963</v>
      </c>
      <c r="HU12" s="351">
        <v>11.878532083840046</v>
      </c>
      <c r="HV12" s="367">
        <v>30195</v>
      </c>
      <c r="HW12" s="352">
        <v>9153</v>
      </c>
      <c r="HX12" s="351">
        <v>11.510608611011728</v>
      </c>
      <c r="HY12" s="367">
        <v>30195</v>
      </c>
      <c r="HZ12" s="352">
        <v>9563</v>
      </c>
      <c r="IA12" s="351">
        <v>11.39177250286045</v>
      </c>
      <c r="IB12" s="367">
        <v>30183</v>
      </c>
      <c r="IC12" s="352">
        <v>9410</v>
      </c>
      <c r="ID12" s="351">
        <v>10.999415546464055</v>
      </c>
      <c r="IE12" s="367">
        <v>30183</v>
      </c>
      <c r="IF12" s="352">
        <v>9016</v>
      </c>
      <c r="IG12" s="351">
        <v>10.549971068319138</v>
      </c>
      <c r="IH12" s="367">
        <v>30176</v>
      </c>
      <c r="II12" s="352">
        <v>9874</v>
      </c>
      <c r="IJ12" s="351">
        <v>10.177283034425892</v>
      </c>
      <c r="IK12" s="367">
        <v>30180</v>
      </c>
      <c r="IL12" s="352">
        <v>9241.74</v>
      </c>
      <c r="IM12" s="351">
        <v>9.5538380952075759</v>
      </c>
      <c r="IN12" s="367">
        <v>28770</v>
      </c>
      <c r="IO12" s="352">
        <v>8926.2999999999993</v>
      </c>
      <c r="IP12" s="351">
        <v>9.4407910114336975</v>
      </c>
      <c r="IQ12" s="367">
        <v>28770</v>
      </c>
      <c r="IR12" s="352">
        <v>9141.5400000000009</v>
      </c>
      <c r="IS12" s="351">
        <v>9.4118230883576022</v>
      </c>
      <c r="IT12" s="367">
        <v>27390</v>
      </c>
      <c r="IU12" s="352">
        <v>8580</v>
      </c>
      <c r="IV12" s="351">
        <v>8.8459991958182549</v>
      </c>
      <c r="IW12" s="367">
        <v>27390</v>
      </c>
      <c r="IX12" s="352">
        <v>8143</v>
      </c>
      <c r="IY12" s="351">
        <v>8.2397344828284051</v>
      </c>
      <c r="IZ12" s="367">
        <v>26087</v>
      </c>
      <c r="JA12" s="352">
        <v>7729</v>
      </c>
      <c r="JB12" s="351">
        <v>7.8227953158368848</v>
      </c>
    </row>
    <row r="13" spans="1:262" x14ac:dyDescent="0.35">
      <c r="A13" s="400"/>
      <c r="B13" s="368"/>
      <c r="C13" s="365"/>
      <c r="D13" s="364"/>
      <c r="E13" s="368"/>
      <c r="F13" s="365"/>
      <c r="G13" s="364"/>
      <c r="H13" s="368"/>
      <c r="I13" s="365"/>
      <c r="J13" s="364"/>
      <c r="K13" s="368"/>
      <c r="L13" s="365"/>
      <c r="M13" s="364"/>
      <c r="N13" s="368"/>
      <c r="O13" s="365"/>
      <c r="P13" s="364"/>
      <c r="Q13" s="369"/>
      <c r="R13" s="347"/>
      <c r="S13" s="361"/>
      <c r="T13" s="369"/>
      <c r="U13" s="347"/>
      <c r="V13" s="364"/>
      <c r="W13" s="369"/>
      <c r="X13" s="347"/>
      <c r="Y13" s="344"/>
      <c r="Z13" s="360"/>
      <c r="AA13" s="347"/>
      <c r="AB13" s="361"/>
      <c r="AC13" s="369"/>
      <c r="AD13" s="347"/>
      <c r="AE13" s="344"/>
      <c r="AF13" s="369"/>
      <c r="AG13" s="360"/>
      <c r="AH13" s="344"/>
      <c r="AI13" s="369"/>
      <c r="AJ13" s="347"/>
      <c r="AK13" s="344"/>
      <c r="AL13" s="369"/>
      <c r="AM13" s="360"/>
      <c r="AN13" s="344"/>
      <c r="AO13" s="369"/>
      <c r="AP13" s="360"/>
      <c r="AQ13" s="344"/>
      <c r="AR13" s="369"/>
      <c r="AS13" s="347"/>
      <c r="AT13" s="344"/>
      <c r="AU13" s="348"/>
      <c r="AV13" s="347"/>
      <c r="AW13" s="344"/>
      <c r="AX13" s="369"/>
      <c r="AY13" s="360"/>
      <c r="AZ13" s="344"/>
      <c r="BA13" s="369"/>
      <c r="BB13" s="360"/>
      <c r="BC13" s="344"/>
      <c r="BD13" s="369"/>
      <c r="BE13" s="347"/>
      <c r="BF13" s="344"/>
      <c r="BG13" s="369"/>
      <c r="BH13" s="347"/>
      <c r="BI13" s="344"/>
      <c r="BJ13" s="369"/>
      <c r="BK13" s="347"/>
      <c r="BL13" s="344"/>
      <c r="BM13" s="369"/>
      <c r="BN13" s="359"/>
      <c r="BO13" s="344"/>
      <c r="BP13" s="369"/>
      <c r="BQ13" s="340"/>
      <c r="BR13" s="344"/>
      <c r="BS13" s="369"/>
      <c r="BT13" s="340"/>
      <c r="BU13" s="344"/>
      <c r="BV13" s="360"/>
      <c r="BW13" s="340"/>
      <c r="BX13" s="344"/>
      <c r="BY13" s="369"/>
      <c r="BZ13" s="340"/>
      <c r="CA13" s="344"/>
      <c r="CB13" s="360"/>
      <c r="CC13" s="340"/>
      <c r="CD13" s="344"/>
      <c r="CE13" s="369"/>
      <c r="CF13" s="340"/>
      <c r="CG13" s="344"/>
      <c r="CH13" s="369"/>
      <c r="CI13" s="340"/>
      <c r="CJ13" s="344"/>
      <c r="CK13" s="369"/>
      <c r="CL13" s="340"/>
      <c r="CM13" s="344"/>
      <c r="CN13" s="368"/>
      <c r="CO13" s="340"/>
      <c r="CP13" s="344"/>
      <c r="CQ13" s="367"/>
      <c r="CR13" s="352"/>
      <c r="CS13" s="354"/>
      <c r="CT13" s="367"/>
      <c r="CU13" s="352"/>
      <c r="CV13" s="354"/>
      <c r="CW13" s="367"/>
      <c r="CX13" s="352"/>
      <c r="CY13" s="354"/>
      <c r="CZ13" s="367"/>
      <c r="DA13" s="352"/>
      <c r="DB13" s="354"/>
      <c r="DC13" s="367"/>
      <c r="DD13" s="352"/>
      <c r="DE13" s="354"/>
      <c r="DF13" s="367"/>
      <c r="DG13" s="352"/>
      <c r="DH13" s="354"/>
      <c r="DI13" s="367"/>
      <c r="DJ13" s="352"/>
      <c r="DK13" s="351"/>
      <c r="DL13" s="367"/>
      <c r="DM13" s="352"/>
      <c r="DN13" s="351"/>
      <c r="DO13" s="367"/>
      <c r="DP13" s="352"/>
      <c r="DQ13" s="351"/>
      <c r="DR13" s="367"/>
      <c r="DS13" s="352"/>
      <c r="DT13" s="351"/>
      <c r="DU13" s="367"/>
      <c r="DV13" s="352"/>
      <c r="DW13" s="351"/>
      <c r="DX13" s="367"/>
      <c r="DY13" s="352"/>
      <c r="DZ13" s="351"/>
      <c r="EA13" s="367"/>
      <c r="EB13" s="352"/>
      <c r="EC13" s="351"/>
      <c r="ED13" s="367"/>
      <c r="EE13" s="352"/>
      <c r="EF13" s="351"/>
      <c r="EG13" s="367"/>
      <c r="EH13" s="352"/>
      <c r="EI13" s="351"/>
      <c r="EJ13" s="367"/>
      <c r="EK13" s="352"/>
      <c r="EL13" s="351"/>
      <c r="EM13" s="367"/>
      <c r="EN13" s="352"/>
      <c r="EO13" s="351"/>
      <c r="EP13" s="367"/>
      <c r="EQ13" s="352"/>
      <c r="ER13" s="351"/>
      <c r="ES13" s="367"/>
      <c r="ET13" s="352"/>
      <c r="EU13" s="351"/>
      <c r="EV13" s="367"/>
      <c r="EW13" s="352"/>
      <c r="EX13" s="351"/>
      <c r="EY13" s="367"/>
      <c r="EZ13" s="352"/>
      <c r="FA13" s="351"/>
      <c r="FB13" s="367"/>
      <c r="FC13" s="352"/>
      <c r="FD13" s="351"/>
      <c r="FE13" s="367"/>
      <c r="FF13" s="352"/>
      <c r="FG13" s="351"/>
      <c r="FH13" s="367"/>
      <c r="FI13" s="352"/>
      <c r="FJ13" s="351"/>
      <c r="FK13" s="367"/>
      <c r="FL13" s="352"/>
      <c r="FM13" s="351"/>
      <c r="FN13" s="367"/>
      <c r="FO13" s="352"/>
      <c r="FP13" s="351"/>
      <c r="FQ13" s="367"/>
      <c r="FR13" s="352"/>
      <c r="FS13" s="351"/>
      <c r="FT13" s="367"/>
      <c r="FU13" s="352"/>
      <c r="FV13" s="351"/>
      <c r="FW13" s="367"/>
      <c r="FX13" s="352"/>
      <c r="FY13" s="351"/>
      <c r="FZ13" s="367"/>
      <c r="GA13" s="352"/>
      <c r="GB13" s="351"/>
      <c r="GC13" s="367"/>
      <c r="GD13" s="352"/>
      <c r="GE13" s="351"/>
      <c r="GF13" s="367"/>
      <c r="GG13" s="352"/>
      <c r="GH13" s="351"/>
      <c r="GI13" s="367"/>
      <c r="GJ13" s="352"/>
      <c r="GK13" s="351"/>
      <c r="GL13" s="367"/>
      <c r="GM13" s="352"/>
      <c r="GN13" s="351"/>
      <c r="GO13" s="367"/>
      <c r="GP13" s="352"/>
      <c r="GQ13" s="351"/>
      <c r="GR13" s="367"/>
      <c r="GS13" s="352"/>
      <c r="GT13" s="351"/>
      <c r="GU13" s="367"/>
      <c r="GV13" s="352"/>
      <c r="GW13" s="351"/>
      <c r="GX13" s="367"/>
      <c r="GY13" s="352"/>
      <c r="GZ13" s="351"/>
      <c r="HA13" s="367"/>
      <c r="HB13" s="352"/>
      <c r="HC13" s="351"/>
      <c r="HD13" s="367"/>
      <c r="HE13" s="352"/>
      <c r="HF13" s="351"/>
      <c r="HG13" s="367"/>
      <c r="HH13" s="352"/>
      <c r="HI13" s="351"/>
      <c r="HJ13" s="367"/>
      <c r="HK13" s="352"/>
      <c r="HL13" s="351"/>
      <c r="HM13" s="367"/>
      <c r="HN13" s="352"/>
      <c r="HO13" s="351"/>
      <c r="HP13" s="367"/>
      <c r="HQ13" s="352"/>
      <c r="HR13" s="351"/>
      <c r="HS13" s="367"/>
      <c r="HT13" s="352"/>
      <c r="HU13" s="351"/>
      <c r="HV13" s="367"/>
      <c r="HW13" s="352"/>
      <c r="HX13" s="351"/>
      <c r="HY13" s="367"/>
      <c r="HZ13" s="352"/>
      <c r="IA13" s="351"/>
      <c r="IB13" s="367"/>
      <c r="IC13" s="352"/>
      <c r="ID13" s="351"/>
      <c r="IE13" s="367"/>
      <c r="IF13" s="352"/>
      <c r="IG13" s="351"/>
      <c r="IH13" s="367"/>
      <c r="II13" s="352"/>
      <c r="IJ13" s="351"/>
      <c r="IK13" s="367"/>
      <c r="IL13" s="352"/>
      <c r="IM13" s="351"/>
      <c r="IN13" s="367"/>
      <c r="IO13" s="352"/>
      <c r="IP13" s="351"/>
      <c r="IQ13" s="367"/>
      <c r="IR13" s="352"/>
      <c r="IS13" s="351"/>
      <c r="IT13" s="367"/>
      <c r="IU13" s="352"/>
      <c r="IV13" s="351"/>
      <c r="IW13" s="367"/>
      <c r="IX13" s="352"/>
      <c r="IY13" s="351"/>
      <c r="IZ13" s="367"/>
      <c r="JA13" s="352"/>
      <c r="JB13" s="351"/>
    </row>
    <row r="14" spans="1:262" x14ac:dyDescent="0.35">
      <c r="A14" s="366" t="s">
        <v>487</v>
      </c>
      <c r="B14" s="368">
        <v>58.3</v>
      </c>
      <c r="C14" s="365">
        <v>1573.5</v>
      </c>
      <c r="D14" s="364">
        <v>21.143793923594778</v>
      </c>
      <c r="E14" s="368">
        <v>56.9</v>
      </c>
      <c r="F14" s="365">
        <v>1697.8</v>
      </c>
      <c r="G14" s="364">
        <v>19.326344067661555</v>
      </c>
      <c r="H14" s="368">
        <v>60.6</v>
      </c>
      <c r="I14" s="365">
        <v>1868.7</v>
      </c>
      <c r="J14" s="364">
        <v>21.113822791675144</v>
      </c>
      <c r="K14" s="368">
        <v>58.4</v>
      </c>
      <c r="L14" s="365">
        <v>1967.1</v>
      </c>
      <c r="M14" s="364">
        <v>20.263087414244215</v>
      </c>
      <c r="N14" s="368">
        <v>60.8</v>
      </c>
      <c r="O14" s="365">
        <v>2054.9</v>
      </c>
      <c r="P14" s="364">
        <v>22.935175677485603</v>
      </c>
      <c r="Q14" s="369">
        <v>64203</v>
      </c>
      <c r="R14" s="347">
        <v>2213086</v>
      </c>
      <c r="S14" s="361">
        <v>24.338064463341787</v>
      </c>
      <c r="T14" s="369">
        <v>62388</v>
      </c>
      <c r="U14" s="347">
        <v>2418785</v>
      </c>
      <c r="V14" s="364">
        <v>25.987393865527402</v>
      </c>
      <c r="W14" s="369">
        <v>59779</v>
      </c>
      <c r="X14" s="347">
        <v>2133274</v>
      </c>
      <c r="Y14" s="344">
        <v>21.534755995491274</v>
      </c>
      <c r="Z14" s="360">
        <v>56787.22</v>
      </c>
      <c r="AA14" s="347">
        <v>2078427</v>
      </c>
      <c r="AB14" s="361">
        <v>21.928041004397578</v>
      </c>
      <c r="AC14" s="369">
        <v>53981.366000000002</v>
      </c>
      <c r="AD14" s="347">
        <v>2145581.1529999999</v>
      </c>
      <c r="AE14" s="344">
        <v>23.181732823939676</v>
      </c>
      <c r="AF14" s="369">
        <v>51170</v>
      </c>
      <c r="AG14" s="360">
        <v>2299578</v>
      </c>
      <c r="AH14" s="344">
        <v>23.58108566026802</v>
      </c>
      <c r="AI14" s="369">
        <v>72352.192999999999</v>
      </c>
      <c r="AJ14" s="347">
        <v>3113418.9549999996</v>
      </c>
      <c r="AK14" s="344">
        <v>21.914974618406504</v>
      </c>
      <c r="AL14" s="369">
        <v>72117</v>
      </c>
      <c r="AM14" s="360">
        <v>3179638</v>
      </c>
      <c r="AN14" s="344">
        <v>36.103432143920386</v>
      </c>
      <c r="AO14" s="369">
        <v>69566.2</v>
      </c>
      <c r="AP14" s="360">
        <v>2978828</v>
      </c>
      <c r="AQ14" s="344">
        <v>21.244712496228114</v>
      </c>
      <c r="AR14" s="369">
        <v>68660.505000000005</v>
      </c>
      <c r="AS14" s="347">
        <v>2900219.764</v>
      </c>
      <c r="AT14" s="344">
        <v>23.600737988338825</v>
      </c>
      <c r="AU14" s="348">
        <v>90782</v>
      </c>
      <c r="AV14" s="347">
        <v>3939471</v>
      </c>
      <c r="AW14" s="344">
        <v>29.952779261256151</v>
      </c>
      <c r="AX14" s="369">
        <v>90522</v>
      </c>
      <c r="AY14" s="360">
        <v>3762990</v>
      </c>
      <c r="AZ14" s="344">
        <v>29.486914568980172</v>
      </c>
      <c r="BA14" s="369">
        <v>69236</v>
      </c>
      <c r="BB14" s="360">
        <v>4031376</v>
      </c>
      <c r="BC14" s="344">
        <v>29.901840471685539</v>
      </c>
      <c r="BD14" s="369">
        <v>90570</v>
      </c>
      <c r="BE14" s="347">
        <v>3971800</v>
      </c>
      <c r="BF14" s="344">
        <v>28.210802411875157</v>
      </c>
      <c r="BG14" s="369">
        <v>132900</v>
      </c>
      <c r="BH14" s="347">
        <v>6082300</v>
      </c>
      <c r="BI14" s="344">
        <v>36.103432143920386</v>
      </c>
      <c r="BJ14" s="369">
        <v>134200</v>
      </c>
      <c r="BK14" s="347">
        <v>5972900</v>
      </c>
      <c r="BL14" s="344">
        <v>26.831391015964968</v>
      </c>
      <c r="BM14" s="369">
        <v>132100</v>
      </c>
      <c r="BN14" s="359">
        <v>5725.6</v>
      </c>
      <c r="BO14" s="344">
        <v>26.486193928011364</v>
      </c>
      <c r="BP14" s="369">
        <v>130000</v>
      </c>
      <c r="BQ14" s="340">
        <v>5435</v>
      </c>
      <c r="BR14" s="344">
        <v>25.860510263315657</v>
      </c>
      <c r="BS14" s="369">
        <v>131800</v>
      </c>
      <c r="BT14" s="340">
        <v>5204.7</v>
      </c>
      <c r="BU14" s="344">
        <v>24.300928671145829</v>
      </c>
      <c r="BV14" s="360">
        <v>133000.20000000001</v>
      </c>
      <c r="BW14" s="340">
        <v>5515</v>
      </c>
      <c r="BX14" s="344">
        <v>22.674385139746576</v>
      </c>
      <c r="BY14" s="369">
        <v>174000</v>
      </c>
      <c r="BZ14" s="340">
        <v>7118</v>
      </c>
      <c r="CA14" s="344">
        <v>26.567929619994253</v>
      </c>
      <c r="CB14" s="360">
        <v>221000</v>
      </c>
      <c r="CC14" s="340">
        <v>8995</v>
      </c>
      <c r="CD14" s="344">
        <v>30.661985274065994</v>
      </c>
      <c r="CE14" s="369">
        <v>223000</v>
      </c>
      <c r="CF14" s="340">
        <v>9321</v>
      </c>
      <c r="CG14" s="344">
        <v>31.324774835327329</v>
      </c>
      <c r="CH14" s="369">
        <v>256000</v>
      </c>
      <c r="CI14" s="340">
        <v>10190</v>
      </c>
      <c r="CJ14" s="344">
        <v>32.940674459501395</v>
      </c>
      <c r="CK14" s="368">
        <v>256</v>
      </c>
      <c r="CL14" s="340">
        <v>9869</v>
      </c>
      <c r="CM14" s="344">
        <v>31.478858863456583</v>
      </c>
      <c r="CN14" s="368">
        <v>261</v>
      </c>
      <c r="CO14" s="340">
        <v>10097</v>
      </c>
      <c r="CP14" s="344">
        <v>32.254663940710451</v>
      </c>
      <c r="CQ14" s="367">
        <v>264</v>
      </c>
      <c r="CR14" s="352">
        <v>10369</v>
      </c>
      <c r="CS14" s="354">
        <v>30.244428888111074</v>
      </c>
      <c r="CT14" s="367">
        <v>306</v>
      </c>
      <c r="CU14" s="352">
        <v>12158</v>
      </c>
      <c r="CV14" s="354">
        <v>34.459497760897904</v>
      </c>
      <c r="CW14" s="367">
        <v>308</v>
      </c>
      <c r="CX14" s="352">
        <v>12558</v>
      </c>
      <c r="CY14" s="354">
        <v>34.934765070798676</v>
      </c>
      <c r="CZ14" s="367">
        <v>310</v>
      </c>
      <c r="DA14" s="352">
        <v>12512</v>
      </c>
      <c r="DB14" s="354">
        <v>33.491260472710728</v>
      </c>
      <c r="DC14" s="367">
        <v>330</v>
      </c>
      <c r="DD14" s="352">
        <v>13474</v>
      </c>
      <c r="DE14" s="354">
        <v>31.681166235598401</v>
      </c>
      <c r="DF14" s="367">
        <v>386</v>
      </c>
      <c r="DG14" s="352">
        <v>16041</v>
      </c>
      <c r="DH14" s="354">
        <v>35.152192492275326</v>
      </c>
      <c r="DI14" s="367">
        <v>404</v>
      </c>
      <c r="DJ14" s="352">
        <v>16978</v>
      </c>
      <c r="DK14" s="351">
        <v>35.999321487638355</v>
      </c>
      <c r="DL14" s="367">
        <v>419</v>
      </c>
      <c r="DM14" s="352">
        <v>17478</v>
      </c>
      <c r="DN14" s="351">
        <v>35.842014600935116</v>
      </c>
      <c r="DO14" s="367">
        <v>437</v>
      </c>
      <c r="DP14" s="352">
        <v>18225</v>
      </c>
      <c r="DQ14" s="351">
        <v>35.418610074626869</v>
      </c>
      <c r="DR14" s="367">
        <v>431</v>
      </c>
      <c r="DS14" s="352">
        <v>17342</v>
      </c>
      <c r="DT14" s="351">
        <v>33.80440927077445</v>
      </c>
      <c r="DU14" s="367">
        <v>456</v>
      </c>
      <c r="DV14" s="352">
        <v>17823</v>
      </c>
      <c r="DW14" s="351">
        <v>34.655544537128854</v>
      </c>
      <c r="DX14" s="367">
        <v>451</v>
      </c>
      <c r="DY14" s="352">
        <v>17867</v>
      </c>
      <c r="DZ14" s="351">
        <v>31.903078351546316</v>
      </c>
      <c r="EA14" s="367">
        <v>448</v>
      </c>
      <c r="EB14" s="352">
        <v>17798</v>
      </c>
      <c r="EC14" s="351">
        <v>32.530935278097637</v>
      </c>
      <c r="ED14" s="367">
        <v>439</v>
      </c>
      <c r="EE14" s="352">
        <v>17738</v>
      </c>
      <c r="EF14" s="351">
        <v>32.515764774893682</v>
      </c>
      <c r="EG14" s="367">
        <v>440</v>
      </c>
      <c r="EH14" s="352">
        <v>17468</v>
      </c>
      <c r="EI14" s="351">
        <v>31.948203965176674</v>
      </c>
      <c r="EJ14" s="367">
        <v>432</v>
      </c>
      <c r="EK14" s="352">
        <v>17553</v>
      </c>
      <c r="EL14" s="351">
        <v>32.491115059973346</v>
      </c>
      <c r="EM14" s="367">
        <v>428</v>
      </c>
      <c r="EN14" s="352">
        <v>17145</v>
      </c>
      <c r="EO14" s="351">
        <v>32.068307646266646</v>
      </c>
      <c r="EP14" s="367">
        <v>433</v>
      </c>
      <c r="EQ14" s="352">
        <v>17373</v>
      </c>
      <c r="ER14" s="351">
        <v>32.715049713769204</v>
      </c>
      <c r="ES14" s="367">
        <v>468</v>
      </c>
      <c r="ET14" s="352">
        <v>17947</v>
      </c>
      <c r="EU14" s="351">
        <v>34.756085752464315</v>
      </c>
      <c r="EV14" s="367">
        <v>458</v>
      </c>
      <c r="EW14" s="352">
        <v>17500</v>
      </c>
      <c r="EX14" s="351">
        <v>37.958484263496949</v>
      </c>
      <c r="EY14" s="367">
        <v>454</v>
      </c>
      <c r="EZ14" s="352">
        <v>18065</v>
      </c>
      <c r="FA14" s="351">
        <v>39.075427580135454</v>
      </c>
      <c r="FB14" s="367">
        <v>444</v>
      </c>
      <c r="FC14" s="352">
        <v>17922</v>
      </c>
      <c r="FD14" s="351">
        <v>39.813660870782215</v>
      </c>
      <c r="FE14" s="367">
        <v>452.4</v>
      </c>
      <c r="FF14" s="352">
        <v>18345.599999999999</v>
      </c>
      <c r="FG14" s="351">
        <v>40.652636850537476</v>
      </c>
      <c r="FH14" s="367">
        <v>455</v>
      </c>
      <c r="FI14" s="352">
        <v>18900</v>
      </c>
      <c r="FJ14" s="351">
        <v>42.429956896551722</v>
      </c>
      <c r="FK14" s="367">
        <v>457</v>
      </c>
      <c r="FL14" s="352">
        <v>18607</v>
      </c>
      <c r="FM14" s="351">
        <v>41.777901517583899</v>
      </c>
      <c r="FN14" s="367">
        <v>441</v>
      </c>
      <c r="FO14" s="352">
        <v>17774</v>
      </c>
      <c r="FP14" s="351">
        <v>42.240199247119662</v>
      </c>
      <c r="FQ14" s="367">
        <v>436</v>
      </c>
      <c r="FR14" s="352">
        <v>17303</v>
      </c>
      <c r="FS14" s="351">
        <v>41.78020420458126</v>
      </c>
      <c r="FT14" s="367">
        <v>421</v>
      </c>
      <c r="FU14" s="352">
        <v>16639</v>
      </c>
      <c r="FV14" s="351">
        <v>41.333482381289514</v>
      </c>
      <c r="FW14" s="367">
        <v>414</v>
      </c>
      <c r="FX14" s="352">
        <v>16891</v>
      </c>
      <c r="FY14" s="351">
        <v>41.956878136022652</v>
      </c>
      <c r="FZ14" s="367">
        <v>399</v>
      </c>
      <c r="GA14" s="352">
        <v>16099</v>
      </c>
      <c r="GB14" s="351">
        <v>41.065734765196545</v>
      </c>
      <c r="GC14" s="367">
        <v>391</v>
      </c>
      <c r="GD14" s="352">
        <v>16232</v>
      </c>
      <c r="GE14" s="351">
        <v>40.99869921574075</v>
      </c>
      <c r="GF14" s="367">
        <v>375.6</v>
      </c>
      <c r="GG14" s="352">
        <v>16471.400000000001</v>
      </c>
      <c r="GH14" s="351">
        <v>48.989509938344497</v>
      </c>
      <c r="GI14" s="367">
        <v>555</v>
      </c>
      <c r="GJ14" s="352">
        <v>25407</v>
      </c>
      <c r="GK14" s="351">
        <v>58.155291360138442</v>
      </c>
      <c r="GL14" s="367">
        <v>840</v>
      </c>
      <c r="GM14" s="352">
        <v>39965</v>
      </c>
      <c r="GN14" s="351">
        <v>67.787611820300498</v>
      </c>
      <c r="GO14" s="367">
        <v>832</v>
      </c>
      <c r="GP14" s="352">
        <v>40923</v>
      </c>
      <c r="GQ14" s="351">
        <v>68.44816209584549</v>
      </c>
      <c r="GR14" s="367">
        <v>817</v>
      </c>
      <c r="GS14" s="352">
        <v>39495</v>
      </c>
      <c r="GT14" s="351">
        <v>56.347291634863275</v>
      </c>
      <c r="GU14" s="367">
        <v>808</v>
      </c>
      <c r="GV14" s="352">
        <v>41484</v>
      </c>
      <c r="GW14" s="351">
        <v>57.664399975535311</v>
      </c>
      <c r="GX14" s="367">
        <v>793</v>
      </c>
      <c r="GY14" s="352">
        <v>39845</v>
      </c>
      <c r="GZ14" s="351">
        <v>51.323368781171432</v>
      </c>
      <c r="HA14" s="367">
        <v>784</v>
      </c>
      <c r="HB14" s="352">
        <v>39108</v>
      </c>
      <c r="HC14" s="351">
        <v>50.77981713916212</v>
      </c>
      <c r="HD14" s="367">
        <v>772</v>
      </c>
      <c r="HE14" s="352">
        <v>38739</v>
      </c>
      <c r="HF14" s="351">
        <v>50.797085058466017</v>
      </c>
      <c r="HG14" s="367">
        <v>744</v>
      </c>
      <c r="HH14" s="352">
        <v>36574</v>
      </c>
      <c r="HI14" s="351">
        <v>49.983531974618742</v>
      </c>
      <c r="HJ14" s="367">
        <v>753</v>
      </c>
      <c r="HK14" s="352">
        <v>33642</v>
      </c>
      <c r="HL14" s="351">
        <v>49.917279343576354</v>
      </c>
      <c r="HM14" s="367">
        <v>744</v>
      </c>
      <c r="HN14" s="352">
        <v>35259</v>
      </c>
      <c r="HO14" s="351">
        <v>43.110157156018325</v>
      </c>
      <c r="HP14" s="367">
        <v>733</v>
      </c>
      <c r="HQ14" s="352">
        <v>37153</v>
      </c>
      <c r="HR14" s="351">
        <v>43.280174271635431</v>
      </c>
      <c r="HS14" s="367">
        <v>725</v>
      </c>
      <c r="HT14" s="352">
        <v>36474</v>
      </c>
      <c r="HU14" s="351">
        <v>43.486658559267468</v>
      </c>
      <c r="HV14" s="367">
        <v>716</v>
      </c>
      <c r="HW14" s="352">
        <v>34283</v>
      </c>
      <c r="HX14" s="351">
        <v>43.113536000362188</v>
      </c>
      <c r="HY14" s="367">
        <v>769</v>
      </c>
      <c r="HZ14" s="352">
        <v>38144</v>
      </c>
      <c r="IA14" s="351">
        <v>45.438436719555476</v>
      </c>
      <c r="IB14" s="367">
        <v>760</v>
      </c>
      <c r="IC14" s="352">
        <v>38658</v>
      </c>
      <c r="ID14" s="351">
        <v>45.18760958503799</v>
      </c>
      <c r="IE14" s="367">
        <v>753</v>
      </c>
      <c r="IF14" s="352">
        <v>38720</v>
      </c>
      <c r="IG14" s="351">
        <v>45.307772822240125</v>
      </c>
      <c r="IH14" s="367">
        <v>745</v>
      </c>
      <c r="II14" s="352">
        <v>38822</v>
      </c>
      <c r="IJ14" s="351">
        <v>40.014430014430012</v>
      </c>
      <c r="IK14" s="367">
        <v>782</v>
      </c>
      <c r="IL14" s="352">
        <v>38938.61</v>
      </c>
      <c r="IM14" s="351">
        <v>40.253585968922593</v>
      </c>
      <c r="IN14" s="367">
        <v>773.81</v>
      </c>
      <c r="IO14" s="352">
        <v>38728.32</v>
      </c>
      <c r="IP14" s="351">
        <v>40.960529597249469</v>
      </c>
      <c r="IQ14" s="367">
        <v>768.38</v>
      </c>
      <c r="IR14" s="352">
        <v>41250.21</v>
      </c>
      <c r="IS14" s="351">
        <v>42.469833187581038</v>
      </c>
      <c r="IT14" s="367">
        <v>760</v>
      </c>
      <c r="IU14" s="352">
        <v>41379</v>
      </c>
      <c r="IV14" s="351">
        <v>42.661841576196217</v>
      </c>
      <c r="IW14" s="367">
        <v>791</v>
      </c>
      <c r="IX14" s="352">
        <v>43207</v>
      </c>
      <c r="IY14" s="351">
        <v>43.720276040718034</v>
      </c>
      <c r="IZ14" s="367">
        <v>782.9</v>
      </c>
      <c r="JA14" s="352">
        <v>42467</v>
      </c>
      <c r="JB14" s="351">
        <v>42.982358478153053</v>
      </c>
    </row>
    <row r="15" spans="1:262" x14ac:dyDescent="0.35">
      <c r="A15" s="366"/>
      <c r="B15" s="368"/>
      <c r="C15" s="365"/>
      <c r="D15" s="364"/>
      <c r="E15" s="368"/>
      <c r="F15" s="365"/>
      <c r="G15" s="364"/>
      <c r="H15" s="368"/>
      <c r="I15" s="365"/>
      <c r="J15" s="364"/>
      <c r="K15" s="368"/>
      <c r="L15" s="365"/>
      <c r="M15" s="364"/>
      <c r="N15" s="368"/>
      <c r="O15" s="365"/>
      <c r="P15" s="364"/>
      <c r="Q15" s="369"/>
      <c r="R15" s="347"/>
      <c r="S15" s="361"/>
      <c r="T15" s="369"/>
      <c r="U15" s="347"/>
      <c r="V15" s="364"/>
      <c r="W15" s="369"/>
      <c r="X15" s="347"/>
      <c r="Y15" s="344"/>
      <c r="Z15" s="360"/>
      <c r="AA15" s="347"/>
      <c r="AB15" s="361"/>
      <c r="AC15" s="369"/>
      <c r="AD15" s="347"/>
      <c r="AE15" s="344"/>
      <c r="AF15" s="377"/>
      <c r="AH15" s="344"/>
      <c r="AI15" s="369"/>
      <c r="AJ15" s="347"/>
      <c r="AK15" s="344"/>
      <c r="AL15" s="377"/>
      <c r="AN15" s="344"/>
      <c r="AO15" s="377"/>
      <c r="AQ15" s="344"/>
      <c r="AR15" s="369"/>
      <c r="AS15" s="347"/>
      <c r="AT15" s="344"/>
      <c r="AU15" s="348"/>
      <c r="AV15" s="347"/>
      <c r="AW15" s="344"/>
      <c r="AX15" s="377"/>
      <c r="AZ15" s="344"/>
      <c r="BA15" s="377"/>
      <c r="BC15" s="344"/>
      <c r="BD15" s="369"/>
      <c r="BE15" s="347"/>
      <c r="BF15" s="344"/>
      <c r="BG15" s="369"/>
      <c r="BH15" s="347"/>
      <c r="BI15" s="344"/>
      <c r="BJ15" s="369"/>
      <c r="BK15" s="347"/>
      <c r="BL15" s="344"/>
      <c r="BM15" s="369"/>
      <c r="BN15" s="359"/>
      <c r="BO15" s="344"/>
      <c r="BP15" s="369"/>
      <c r="BQ15" s="340"/>
      <c r="BR15" s="344"/>
      <c r="BS15" s="369"/>
      <c r="BT15" s="340"/>
      <c r="BU15" s="344"/>
      <c r="BV15" s="360"/>
      <c r="BW15" s="340"/>
      <c r="BX15" s="344"/>
      <c r="BY15" s="369"/>
      <c r="BZ15" s="340"/>
      <c r="CA15" s="344"/>
      <c r="CB15" s="360"/>
      <c r="CC15" s="340"/>
      <c r="CD15" s="344"/>
      <c r="CE15" s="369"/>
      <c r="CF15" s="340"/>
      <c r="CG15" s="344"/>
      <c r="CH15" s="360"/>
      <c r="CI15" s="340"/>
      <c r="CJ15" s="344"/>
      <c r="CK15" s="369"/>
      <c r="CL15" s="340"/>
      <c r="CM15" s="344"/>
      <c r="CN15" s="380"/>
      <c r="CO15" s="340"/>
      <c r="CP15" s="344"/>
      <c r="CQ15" s="367"/>
      <c r="CR15" s="352"/>
      <c r="CS15" s="354"/>
      <c r="CT15" s="379"/>
      <c r="CU15" s="352"/>
      <c r="CV15" s="354"/>
      <c r="CW15" s="367"/>
      <c r="CX15" s="352"/>
      <c r="CY15" s="354"/>
      <c r="CZ15" s="367"/>
      <c r="DA15" s="352"/>
      <c r="DB15" s="354"/>
      <c r="DC15" s="367"/>
      <c r="DD15" s="352"/>
      <c r="DE15" s="354"/>
      <c r="DF15" s="367"/>
      <c r="DG15" s="352"/>
      <c r="DH15" s="354"/>
      <c r="DI15" s="367"/>
      <c r="DJ15" s="352"/>
      <c r="DK15" s="351"/>
      <c r="DL15" s="367"/>
      <c r="DM15" s="352"/>
      <c r="DN15" s="351"/>
      <c r="DO15" s="367"/>
      <c r="DP15" s="352"/>
      <c r="DQ15" s="351"/>
      <c r="DR15" s="367"/>
      <c r="DS15" s="352"/>
      <c r="DT15" s="351"/>
      <c r="DU15" s="367"/>
      <c r="DV15" s="352"/>
      <c r="DW15" s="351"/>
      <c r="DX15" s="367"/>
      <c r="DY15" s="352"/>
      <c r="DZ15" s="351"/>
      <c r="EA15" s="367"/>
      <c r="EB15" s="352"/>
      <c r="EC15" s="351"/>
      <c r="ED15" s="367"/>
      <c r="EE15" s="352"/>
      <c r="EF15" s="351"/>
      <c r="EG15" s="367"/>
      <c r="EH15" s="352"/>
      <c r="EI15" s="351"/>
      <c r="EJ15" s="367"/>
      <c r="EK15" s="352"/>
      <c r="EL15" s="351"/>
      <c r="EM15" s="367"/>
      <c r="EN15" s="352"/>
      <c r="EO15" s="351"/>
      <c r="EP15" s="367"/>
      <c r="EQ15" s="352"/>
      <c r="ER15" s="351"/>
      <c r="ES15" s="367"/>
      <c r="ET15" s="352"/>
      <c r="EU15" s="351"/>
      <c r="EV15" s="367"/>
      <c r="EW15" s="352"/>
      <c r="EX15" s="351"/>
      <c r="EY15" s="367"/>
      <c r="EZ15" s="352"/>
      <c r="FA15" s="351"/>
      <c r="FB15" s="367"/>
      <c r="FC15" s="352"/>
      <c r="FD15" s="351"/>
      <c r="FE15" s="367"/>
      <c r="FF15" s="352"/>
      <c r="FG15" s="351"/>
      <c r="FH15" s="367"/>
      <c r="FI15" s="352"/>
      <c r="FJ15" s="351"/>
      <c r="FK15" s="367"/>
      <c r="FL15" s="352"/>
      <c r="FM15" s="351"/>
      <c r="FN15" s="367"/>
      <c r="FO15" s="352"/>
      <c r="FP15" s="351"/>
      <c r="FQ15" s="367"/>
      <c r="FR15" s="352"/>
      <c r="FS15" s="351"/>
      <c r="FT15" s="367"/>
      <c r="FU15" s="352"/>
      <c r="FV15" s="351"/>
      <c r="FW15" s="367"/>
      <c r="FX15" s="352"/>
      <c r="FY15" s="351"/>
      <c r="FZ15" s="367"/>
      <c r="GA15" s="352"/>
      <c r="GB15" s="351"/>
      <c r="GC15" s="367"/>
      <c r="GD15" s="352"/>
      <c r="GE15" s="351"/>
      <c r="GF15" s="367"/>
      <c r="GG15" s="352"/>
      <c r="GH15" s="351"/>
      <c r="GI15" s="367"/>
      <c r="GJ15" s="352"/>
      <c r="GK15" s="351"/>
      <c r="GL15" s="367"/>
      <c r="GM15" s="352"/>
      <c r="GN15" s="351"/>
      <c r="GO15" s="367"/>
      <c r="GP15" s="352"/>
      <c r="GQ15" s="351"/>
      <c r="GR15" s="367"/>
      <c r="GS15" s="352"/>
      <c r="GT15" s="351"/>
      <c r="GU15" s="367"/>
      <c r="GV15" s="352"/>
      <c r="GW15" s="351"/>
      <c r="GX15" s="367"/>
      <c r="GY15" s="352"/>
      <c r="GZ15" s="351"/>
      <c r="HA15" s="367"/>
      <c r="HB15" s="352"/>
      <c r="HC15" s="351"/>
      <c r="HD15" s="367"/>
      <c r="HE15" s="352"/>
      <c r="HF15" s="351"/>
      <c r="HG15" s="367"/>
      <c r="HH15" s="352"/>
      <c r="HI15" s="351"/>
      <c r="HJ15" s="367"/>
      <c r="HK15" s="352"/>
      <c r="HL15" s="351"/>
      <c r="HM15" s="367"/>
      <c r="HN15" s="352"/>
      <c r="HO15" s="351"/>
      <c r="HP15" s="367"/>
      <c r="HQ15" s="352"/>
      <c r="HR15" s="351"/>
      <c r="HS15" s="367"/>
      <c r="HT15" s="352"/>
      <c r="HU15" s="351"/>
      <c r="HV15" s="367"/>
      <c r="HW15" s="352"/>
      <c r="HX15" s="351"/>
      <c r="HY15" s="367"/>
      <c r="HZ15" s="352"/>
      <c r="IA15" s="351"/>
      <c r="IB15" s="367"/>
      <c r="IC15" s="352"/>
      <c r="ID15" s="351"/>
      <c r="IE15" s="367"/>
      <c r="IF15" s="352"/>
      <c r="IG15" s="351"/>
      <c r="IH15" s="367"/>
      <c r="II15" s="352"/>
      <c r="IJ15" s="351"/>
      <c r="IK15" s="367"/>
      <c r="IL15" s="352"/>
      <c r="IM15" s="351"/>
      <c r="IN15" s="367"/>
      <c r="IO15" s="352"/>
      <c r="IP15" s="351"/>
      <c r="IQ15" s="367"/>
      <c r="IR15" s="352"/>
      <c r="IS15" s="351"/>
      <c r="IT15" s="367"/>
      <c r="IU15" s="352"/>
      <c r="IV15" s="351"/>
      <c r="IW15" s="367"/>
      <c r="IX15" s="352"/>
      <c r="IY15" s="351"/>
      <c r="IZ15" s="367"/>
      <c r="JA15" s="352"/>
      <c r="JB15" s="351"/>
    </row>
    <row r="16" spans="1:262" ht="17.899999999999999" customHeight="1" x14ac:dyDescent="0.35">
      <c r="A16" s="366" t="s">
        <v>486</v>
      </c>
      <c r="B16" s="368">
        <v>5</v>
      </c>
      <c r="C16" s="365">
        <v>182.9</v>
      </c>
      <c r="D16" s="364">
        <v>2.4577056934385033</v>
      </c>
      <c r="E16" s="368">
        <v>4.5999999999999996</v>
      </c>
      <c r="F16" s="365">
        <v>173.1</v>
      </c>
      <c r="G16" s="364">
        <v>1.9704265273366799</v>
      </c>
      <c r="H16" s="368">
        <v>2.2000000000000002</v>
      </c>
      <c r="I16" s="365">
        <v>87.7</v>
      </c>
      <c r="J16" s="364">
        <v>0.99089327277246764</v>
      </c>
      <c r="K16" s="368">
        <v>18.289630679999998</v>
      </c>
      <c r="L16" s="365">
        <v>736.6</v>
      </c>
      <c r="M16" s="364">
        <v>7.5877129730731987</v>
      </c>
      <c r="N16" s="368">
        <v>18.206887379999998</v>
      </c>
      <c r="O16" s="365">
        <v>705.8</v>
      </c>
      <c r="P16" s="364">
        <v>7.8775838207062812</v>
      </c>
      <c r="Q16" s="397">
        <v>18.515181439999999</v>
      </c>
      <c r="R16" s="347">
        <v>761604</v>
      </c>
      <c r="S16" s="361">
        <v>8.3756199476834414</v>
      </c>
      <c r="T16" s="397">
        <v>18.338815960000002</v>
      </c>
      <c r="U16" s="347">
        <v>804186</v>
      </c>
      <c r="V16" s="364">
        <v>8.640163686786142</v>
      </c>
      <c r="W16" s="397">
        <v>18.597825389999997</v>
      </c>
      <c r="X16" s="347">
        <v>796276</v>
      </c>
      <c r="Y16" s="344">
        <v>8.0381654513512153</v>
      </c>
      <c r="Z16" s="399">
        <v>18.735678</v>
      </c>
      <c r="AA16" s="347">
        <v>821213</v>
      </c>
      <c r="AB16" s="361">
        <v>8.6640485027111129</v>
      </c>
      <c r="AC16" s="397">
        <v>19.573854369999999</v>
      </c>
      <c r="AD16" s="347">
        <v>895336.8</v>
      </c>
      <c r="AE16" s="344">
        <v>9.673583521192084</v>
      </c>
      <c r="AF16" s="397">
        <v>19.441942409999999</v>
      </c>
      <c r="AG16" s="370">
        <v>1004282</v>
      </c>
      <c r="AH16" s="344">
        <v>10.298437308525862</v>
      </c>
      <c r="AI16" s="397">
        <v>19.774133580000001</v>
      </c>
      <c r="AJ16" s="347">
        <v>948660.5</v>
      </c>
      <c r="AK16" s="344">
        <v>6.6775050449273134</v>
      </c>
      <c r="AL16" s="397">
        <v>19.6298466</v>
      </c>
      <c r="AM16" s="370">
        <v>920543</v>
      </c>
      <c r="AN16" s="344">
        <v>9.8243524858588867</v>
      </c>
      <c r="AO16" s="397">
        <v>19.56557652</v>
      </c>
      <c r="AP16" s="370">
        <v>872436</v>
      </c>
      <c r="AQ16" s="344">
        <v>6.2221289686276853</v>
      </c>
      <c r="AR16" s="397">
        <v>19.452822959999999</v>
      </c>
      <c r="AS16" s="347">
        <v>831248.08</v>
      </c>
      <c r="AT16" s="344">
        <v>6.7643384763133794</v>
      </c>
      <c r="AU16" s="398">
        <v>19.31011642</v>
      </c>
      <c r="AV16" s="347">
        <v>859440</v>
      </c>
      <c r="AW16" s="344">
        <v>6.5345363903666227</v>
      </c>
      <c r="AX16" s="397">
        <v>19.097123499999999</v>
      </c>
      <c r="AY16" s="370">
        <v>832303</v>
      </c>
      <c r="AZ16" s="344">
        <v>6.5219539399535744</v>
      </c>
      <c r="BA16" s="397">
        <v>18.979000669999998</v>
      </c>
      <c r="BB16" s="370">
        <v>928342</v>
      </c>
      <c r="BC16" s="344">
        <v>6.8857716043270329</v>
      </c>
      <c r="BD16" s="369">
        <v>18840.701178399999</v>
      </c>
      <c r="BE16" s="347">
        <v>933304</v>
      </c>
      <c r="BF16" s="344">
        <v>6.6290484753040761</v>
      </c>
      <c r="BG16" s="369">
        <v>18829.993240799999</v>
      </c>
      <c r="BH16" s="347">
        <v>939672</v>
      </c>
      <c r="BI16" s="344">
        <v>9.8243524858588867</v>
      </c>
      <c r="BJ16" s="397">
        <v>99.689893640000008</v>
      </c>
      <c r="BK16" s="347">
        <v>4822566</v>
      </c>
      <c r="BL16" s="344">
        <v>21.663874172729848</v>
      </c>
      <c r="BM16" s="396">
        <v>100.42520544</v>
      </c>
      <c r="BN16" s="359">
        <v>4768.8</v>
      </c>
      <c r="BO16" s="344">
        <v>22.060109264339211</v>
      </c>
      <c r="BP16" s="396">
        <v>100.17850095</v>
      </c>
      <c r="BQ16" s="340">
        <v>4684.5</v>
      </c>
      <c r="BR16" s="344">
        <v>22.289523519503625</v>
      </c>
      <c r="BS16" s="396">
        <v>100.16848314000001</v>
      </c>
      <c r="BT16" s="340">
        <v>4722.3</v>
      </c>
      <c r="BU16" s="344">
        <v>22.048585982621855</v>
      </c>
      <c r="BV16" s="395">
        <v>100.018446</v>
      </c>
      <c r="BW16" s="340">
        <v>4686.8999999999996</v>
      </c>
      <c r="BX16" s="344">
        <v>19.269732676605297</v>
      </c>
      <c r="BY16" s="393">
        <v>100.05875950000001</v>
      </c>
      <c r="BZ16" s="340">
        <v>4655</v>
      </c>
      <c r="CA16" s="344">
        <v>17.374783981606242</v>
      </c>
      <c r="CB16" s="394">
        <v>99.761291499999999</v>
      </c>
      <c r="CC16" s="340">
        <v>4489</v>
      </c>
      <c r="CD16" s="344">
        <v>15.302017998363784</v>
      </c>
      <c r="CE16" s="393">
        <v>99.775607999999991</v>
      </c>
      <c r="CF16" s="340">
        <v>4546</v>
      </c>
      <c r="CG16" s="344">
        <v>15.277591074069093</v>
      </c>
      <c r="CH16" s="391">
        <v>100.28930600000001</v>
      </c>
      <c r="CI16" s="340">
        <v>4546</v>
      </c>
      <c r="CJ16" s="344">
        <v>14.695613944346746</v>
      </c>
      <c r="CK16" s="392">
        <v>100.8805452</v>
      </c>
      <c r="CL16" s="340">
        <v>4542</v>
      </c>
      <c r="CM16" s="344">
        <v>14.48748373268009</v>
      </c>
      <c r="CN16" s="380">
        <v>100.71090239999999</v>
      </c>
      <c r="CO16" s="340">
        <v>4506</v>
      </c>
      <c r="CP16" s="344">
        <v>14.394326603628929</v>
      </c>
      <c r="CQ16" s="367">
        <v>100.6846357</v>
      </c>
      <c r="CR16" s="352">
        <v>4733</v>
      </c>
      <c r="CS16" s="354">
        <v>13.805273597013185</v>
      </c>
      <c r="CT16" s="379">
        <v>100.8531325</v>
      </c>
      <c r="CU16" s="352">
        <v>4735</v>
      </c>
      <c r="CV16" s="354">
        <v>13.420441018082876</v>
      </c>
      <c r="CW16" s="367">
        <v>100.8701784</v>
      </c>
      <c r="CX16" s="352">
        <v>4734</v>
      </c>
      <c r="CY16" s="354">
        <v>13.169388266058363</v>
      </c>
      <c r="CZ16" s="379">
        <v>100</v>
      </c>
      <c r="DA16" s="352">
        <v>4696</v>
      </c>
      <c r="DB16" s="354">
        <v>12.569929601970072</v>
      </c>
      <c r="DC16" s="367">
        <v>99.908535999999998</v>
      </c>
      <c r="DD16" s="352">
        <v>4690</v>
      </c>
      <c r="DE16" s="354">
        <v>11.027509992946156</v>
      </c>
      <c r="DF16" s="367">
        <v>100.2151168</v>
      </c>
      <c r="DG16" s="352">
        <v>4684</v>
      </c>
      <c r="DH16" s="354">
        <v>10.264501566848553</v>
      </c>
      <c r="DI16" s="367">
        <v>100.25277010000001</v>
      </c>
      <c r="DJ16" s="352">
        <v>4651</v>
      </c>
      <c r="DK16" s="351">
        <v>9.8617531063144046</v>
      </c>
      <c r="DL16" s="367">
        <v>99.891775999999993</v>
      </c>
      <c r="DM16" s="352">
        <v>4640</v>
      </c>
      <c r="DN16" s="351">
        <v>9.5152161430563531</v>
      </c>
      <c r="DO16" s="367">
        <v>99.238415799999999</v>
      </c>
      <c r="DP16" s="352">
        <v>4639</v>
      </c>
      <c r="DQ16" s="351">
        <v>9.0154695273631837</v>
      </c>
      <c r="DR16" s="367">
        <v>98.896140599999995</v>
      </c>
      <c r="DS16" s="352">
        <v>4623</v>
      </c>
      <c r="DT16" s="351">
        <v>9.0115202432701125</v>
      </c>
      <c r="DU16" s="367">
        <v>99</v>
      </c>
      <c r="DV16" s="352">
        <v>4574</v>
      </c>
      <c r="DW16" s="351">
        <v>8.893814773765774</v>
      </c>
      <c r="DX16" s="367">
        <v>99.276473064307325</v>
      </c>
      <c r="DY16" s="352">
        <v>5000</v>
      </c>
      <c r="DZ16" s="351">
        <v>8.9279337190200696</v>
      </c>
      <c r="EA16" s="367">
        <v>99.232493928471513</v>
      </c>
      <c r="EB16" s="352">
        <v>4895</v>
      </c>
      <c r="EC16" s="351">
        <v>8.9470124837783995</v>
      </c>
      <c r="ED16" s="367">
        <v>98</v>
      </c>
      <c r="EE16" s="352">
        <v>4941</v>
      </c>
      <c r="EF16" s="351">
        <v>9.057413110426749</v>
      </c>
      <c r="EG16" s="367">
        <v>98</v>
      </c>
      <c r="EH16" s="352">
        <v>4928</v>
      </c>
      <c r="EI16" s="351">
        <v>9.0130953251883827</v>
      </c>
      <c r="EJ16" s="367">
        <v>98</v>
      </c>
      <c r="EK16" s="352">
        <v>4917</v>
      </c>
      <c r="EL16" s="351">
        <v>9.1015104398045317</v>
      </c>
      <c r="EM16" s="367">
        <v>98</v>
      </c>
      <c r="EN16" s="352">
        <v>4902</v>
      </c>
      <c r="EO16" s="351">
        <v>9.1687864731408055</v>
      </c>
      <c r="EP16" s="367">
        <v>98</v>
      </c>
      <c r="EQ16" s="352">
        <v>4879</v>
      </c>
      <c r="ER16" s="351">
        <v>9.1876318168122939</v>
      </c>
      <c r="ES16" s="367">
        <v>98</v>
      </c>
      <c r="ET16" s="352">
        <v>4756</v>
      </c>
      <c r="EU16" s="351">
        <v>9.210449871216376</v>
      </c>
      <c r="EV16" s="367">
        <v>97</v>
      </c>
      <c r="EW16" s="352">
        <v>4719</v>
      </c>
      <c r="EX16" s="351">
        <v>10.235776413682407</v>
      </c>
      <c r="EY16" s="367">
        <v>97</v>
      </c>
      <c r="EZ16" s="352">
        <v>4712</v>
      </c>
      <c r="FA16" s="351">
        <v>10.192273166764366</v>
      </c>
      <c r="FB16" s="367">
        <v>97</v>
      </c>
      <c r="FC16" s="352">
        <v>4683</v>
      </c>
      <c r="FD16" s="351">
        <v>10.403268265699872</v>
      </c>
      <c r="FE16" s="367">
        <v>97.3</v>
      </c>
      <c r="FF16" s="352">
        <v>4664.8</v>
      </c>
      <c r="FG16" s="351">
        <v>10.336888429944359</v>
      </c>
      <c r="FH16" s="367">
        <v>97</v>
      </c>
      <c r="FI16" s="352">
        <v>4726</v>
      </c>
      <c r="FJ16" s="351">
        <v>10.609734195402298</v>
      </c>
      <c r="FK16" s="367">
        <v>97</v>
      </c>
      <c r="FL16" s="352">
        <v>4750</v>
      </c>
      <c r="FM16" s="351">
        <v>10.665074015613667</v>
      </c>
      <c r="FN16" s="367">
        <v>97</v>
      </c>
      <c r="FO16" s="352">
        <v>4681</v>
      </c>
      <c r="FP16" s="351">
        <v>11.124472413399749</v>
      </c>
      <c r="FQ16" s="367">
        <v>97</v>
      </c>
      <c r="FR16" s="352">
        <v>4648</v>
      </c>
      <c r="FS16" s="351">
        <v>11.223162985776669</v>
      </c>
      <c r="FT16" s="367">
        <v>97</v>
      </c>
      <c r="FU16" s="352">
        <v>4697</v>
      </c>
      <c r="FV16" s="351">
        <v>11.66797083628324</v>
      </c>
      <c r="FW16" s="367">
        <v>97</v>
      </c>
      <c r="FX16" s="352">
        <v>4790</v>
      </c>
      <c r="FY16" s="351">
        <v>11.898256247205524</v>
      </c>
      <c r="FZ16" s="367">
        <v>96</v>
      </c>
      <c r="GA16" s="352">
        <v>4829</v>
      </c>
      <c r="GB16" s="351">
        <v>12.317934851924598</v>
      </c>
      <c r="GC16" s="367">
        <v>96</v>
      </c>
      <c r="GD16" s="352">
        <v>4914.3999999999996</v>
      </c>
      <c r="GE16" s="351">
        <v>12.412765366303374</v>
      </c>
      <c r="GF16" s="367">
        <v>96.3</v>
      </c>
      <c r="GG16" s="352">
        <v>5242.5</v>
      </c>
      <c r="GH16" s="351">
        <v>15.592330090445921</v>
      </c>
      <c r="GI16" s="367">
        <v>96</v>
      </c>
      <c r="GJ16" s="352">
        <v>5390</v>
      </c>
      <c r="GK16" s="351">
        <v>12.337427497585161</v>
      </c>
      <c r="GL16" s="367">
        <v>96</v>
      </c>
      <c r="GM16" s="352">
        <v>5472</v>
      </c>
      <c r="GN16" s="351">
        <v>9.2814665802748486</v>
      </c>
      <c r="GO16" s="367">
        <v>96</v>
      </c>
      <c r="GP16" s="352">
        <v>5526</v>
      </c>
      <c r="GQ16" s="351">
        <v>9.2428351719483466</v>
      </c>
      <c r="GR16" s="367">
        <v>96</v>
      </c>
      <c r="GS16" s="352">
        <v>5592</v>
      </c>
      <c r="GT16" s="351">
        <v>7.978074561897845</v>
      </c>
      <c r="GU16" s="367">
        <v>96</v>
      </c>
      <c r="GV16" s="352">
        <v>5903</v>
      </c>
      <c r="GW16" s="351">
        <v>8.2054033616716069</v>
      </c>
      <c r="GX16" s="367">
        <v>233</v>
      </c>
      <c r="GY16" s="352">
        <v>14104.8</v>
      </c>
      <c r="GZ16" s="351">
        <v>18.16804748361568</v>
      </c>
      <c r="HA16" s="367">
        <v>233</v>
      </c>
      <c r="HB16" s="352">
        <v>14214.099999999999</v>
      </c>
      <c r="HC16" s="351">
        <v>18.456310698521126</v>
      </c>
      <c r="HD16" s="367">
        <v>233</v>
      </c>
      <c r="HE16" s="352">
        <v>14355.400000000001</v>
      </c>
      <c r="HF16" s="351">
        <v>18.823729958137875</v>
      </c>
      <c r="HG16" s="367">
        <v>233</v>
      </c>
      <c r="HH16" s="352">
        <v>14085.2</v>
      </c>
      <c r="HI16" s="351">
        <v>19.24941336930333</v>
      </c>
      <c r="HJ16" s="367">
        <v>233</v>
      </c>
      <c r="HK16" s="352">
        <v>13352</v>
      </c>
      <c r="HL16" s="351">
        <v>19.811411741139988</v>
      </c>
      <c r="HM16" s="367">
        <v>233</v>
      </c>
      <c r="HN16" s="352">
        <v>13627</v>
      </c>
      <c r="HO16" s="351">
        <v>16.661337858846302</v>
      </c>
      <c r="HP16" s="367">
        <v>233</v>
      </c>
      <c r="HQ16" s="352">
        <v>14463</v>
      </c>
      <c r="HR16" s="351">
        <v>16.848199620236944</v>
      </c>
      <c r="HS16" s="367">
        <v>233</v>
      </c>
      <c r="HT16" s="352">
        <v>14283</v>
      </c>
      <c r="HU16" s="351">
        <v>17.029115101223262</v>
      </c>
      <c r="HV16" s="367">
        <v>233</v>
      </c>
      <c r="HW16" s="352">
        <v>13656</v>
      </c>
      <c r="HX16" s="351">
        <v>17.173480956186623</v>
      </c>
      <c r="HY16" s="367">
        <v>233</v>
      </c>
      <c r="HZ16" s="352">
        <v>13863</v>
      </c>
      <c r="IA16" s="351">
        <v>16.51407949463081</v>
      </c>
      <c r="IB16" s="367">
        <v>233</v>
      </c>
      <c r="IC16" s="352">
        <v>14406</v>
      </c>
      <c r="ID16" s="351">
        <v>16.839275277615428</v>
      </c>
      <c r="IE16" s="367">
        <v>233</v>
      </c>
      <c r="IF16" s="352">
        <v>14586</v>
      </c>
      <c r="IG16" s="351">
        <v>17.067643966559775</v>
      </c>
      <c r="IH16" s="367">
        <v>233</v>
      </c>
      <c r="II16" s="352">
        <v>14561</v>
      </c>
      <c r="IJ16" s="351">
        <v>15.008245722531438</v>
      </c>
      <c r="IK16" s="367">
        <v>233</v>
      </c>
      <c r="IL16" s="352">
        <v>14385</v>
      </c>
      <c r="IM16" s="351">
        <v>14.870788509475593</v>
      </c>
      <c r="IN16" s="367">
        <v>233</v>
      </c>
      <c r="IO16" s="352">
        <v>14145</v>
      </c>
      <c r="IP16" s="351">
        <v>14.960284648368265</v>
      </c>
      <c r="IQ16" s="367">
        <v>233.06</v>
      </c>
      <c r="IR16" s="352">
        <v>14506.01</v>
      </c>
      <c r="IS16" s="351">
        <v>14.934901541528697</v>
      </c>
      <c r="IT16" s="367">
        <v>233</v>
      </c>
      <c r="IU16" s="352">
        <v>14633</v>
      </c>
      <c r="IV16" s="351">
        <v>15.08665573804295</v>
      </c>
      <c r="IW16" s="367">
        <v>233</v>
      </c>
      <c r="IX16" s="352">
        <v>14849</v>
      </c>
      <c r="IY16" s="351">
        <v>15.025398174569446</v>
      </c>
      <c r="IZ16" s="367">
        <v>233.02</v>
      </c>
      <c r="JA16" s="352">
        <v>14944</v>
      </c>
      <c r="JB16" s="351">
        <v>15.125352982257265</v>
      </c>
    </row>
    <row r="17" spans="1:262" x14ac:dyDescent="0.35">
      <c r="A17" s="366"/>
      <c r="B17" s="368"/>
      <c r="C17" s="365"/>
      <c r="D17" s="364"/>
      <c r="E17" s="368"/>
      <c r="F17" s="365"/>
      <c r="G17" s="364"/>
      <c r="H17" s="368"/>
      <c r="I17" s="365"/>
      <c r="J17" s="364"/>
      <c r="K17" s="368"/>
      <c r="L17" s="365"/>
      <c r="M17" s="364"/>
      <c r="N17" s="368"/>
      <c r="O17" s="365"/>
      <c r="P17" s="364"/>
      <c r="Q17" s="369"/>
      <c r="R17" s="347"/>
      <c r="S17" s="361"/>
      <c r="T17" s="369"/>
      <c r="U17" s="347"/>
      <c r="V17" s="364"/>
      <c r="W17" s="369"/>
      <c r="X17" s="347"/>
      <c r="Y17" s="344"/>
      <c r="Z17" s="360"/>
      <c r="AA17" s="347"/>
      <c r="AB17" s="361"/>
      <c r="AC17" s="369"/>
      <c r="AD17" s="347"/>
      <c r="AE17" s="344"/>
      <c r="AF17" s="377"/>
      <c r="AH17" s="344"/>
      <c r="AI17" s="369"/>
      <c r="AJ17" s="347"/>
      <c r="AK17" s="344"/>
      <c r="AL17" s="377"/>
      <c r="AN17" s="344"/>
      <c r="AO17" s="377"/>
      <c r="AQ17" s="344"/>
      <c r="AR17" s="369"/>
      <c r="AS17" s="347"/>
      <c r="AT17" s="344"/>
      <c r="AU17" s="348"/>
      <c r="AV17" s="347"/>
      <c r="AW17" s="344"/>
      <c r="AX17" s="377"/>
      <c r="AZ17" s="344"/>
      <c r="BA17" s="377"/>
      <c r="BC17" s="344"/>
      <c r="BD17" s="369"/>
      <c r="BE17" s="347"/>
      <c r="BF17" s="344"/>
      <c r="BG17" s="369"/>
      <c r="BH17" s="347"/>
      <c r="BI17" s="344"/>
      <c r="BJ17" s="369"/>
      <c r="BK17" s="347"/>
      <c r="BL17" s="344"/>
      <c r="BM17" s="369"/>
      <c r="BN17" s="359"/>
      <c r="BO17" s="344"/>
      <c r="BP17" s="369"/>
      <c r="BQ17" s="340"/>
      <c r="BR17" s="344"/>
      <c r="BS17" s="369"/>
      <c r="BT17" s="340"/>
      <c r="BU17" s="344"/>
      <c r="BV17" s="360"/>
      <c r="BW17" s="340"/>
      <c r="BX17" s="344"/>
      <c r="BY17" s="369"/>
      <c r="BZ17" s="340"/>
      <c r="CA17" s="344"/>
      <c r="CB17" s="360"/>
      <c r="CC17" s="340"/>
      <c r="CD17" s="344"/>
      <c r="CE17" s="369"/>
      <c r="CF17" s="340"/>
      <c r="CG17" s="344"/>
      <c r="CH17" s="370"/>
      <c r="CI17" s="340"/>
      <c r="CJ17" s="344"/>
      <c r="CK17" s="348"/>
      <c r="CL17" s="340"/>
      <c r="CM17" s="344"/>
      <c r="CN17" s="380"/>
      <c r="CO17" s="340"/>
      <c r="CP17" s="375"/>
      <c r="CQ17" s="367"/>
      <c r="CR17" s="352"/>
      <c r="CS17" s="354"/>
      <c r="CT17" s="379"/>
      <c r="CU17" s="352"/>
      <c r="CV17" s="354"/>
      <c r="CW17" s="367"/>
      <c r="CX17" s="352"/>
      <c r="CY17" s="354"/>
      <c r="CZ17" s="379"/>
      <c r="DA17" s="352"/>
      <c r="DB17" s="354"/>
      <c r="DC17" s="367"/>
      <c r="DD17" s="352"/>
      <c r="DE17" s="354"/>
      <c r="DF17" s="367"/>
      <c r="DG17" s="352"/>
      <c r="DH17" s="354"/>
      <c r="DI17" s="367"/>
      <c r="DJ17" s="352"/>
      <c r="DK17" s="351"/>
      <c r="DL17" s="367"/>
      <c r="DM17" s="352"/>
      <c r="DN17" s="351"/>
      <c r="DO17" s="367"/>
      <c r="DP17" s="352"/>
      <c r="DQ17" s="351"/>
      <c r="DR17" s="367"/>
      <c r="DS17" s="352"/>
      <c r="DT17" s="351"/>
      <c r="DU17" s="367"/>
      <c r="DV17" s="352"/>
      <c r="DW17" s="351"/>
      <c r="DX17" s="367"/>
      <c r="DY17" s="352"/>
      <c r="DZ17" s="351"/>
      <c r="EA17" s="367"/>
      <c r="EB17" s="352"/>
      <c r="EC17" s="351"/>
      <c r="ED17" s="367"/>
      <c r="EE17" s="352"/>
      <c r="EF17" s="351"/>
      <c r="EG17" s="367"/>
      <c r="EH17" s="352"/>
      <c r="EI17" s="351"/>
      <c r="EJ17" s="367"/>
      <c r="EK17" s="352"/>
      <c r="EL17" s="351"/>
      <c r="EM17" s="367"/>
      <c r="EN17" s="352"/>
      <c r="EO17" s="351"/>
      <c r="EP17" s="367"/>
      <c r="EQ17" s="352"/>
      <c r="ER17" s="351"/>
      <c r="ES17" s="367"/>
      <c r="ET17" s="352"/>
      <c r="EU17" s="351"/>
      <c r="EV17" s="367"/>
      <c r="EW17" s="352"/>
      <c r="EX17" s="351"/>
      <c r="EY17" s="367"/>
      <c r="EZ17" s="352"/>
      <c r="FA17" s="351"/>
      <c r="FB17" s="367"/>
      <c r="FC17" s="352"/>
      <c r="FD17" s="351"/>
      <c r="FE17" s="367"/>
      <c r="FF17" s="352"/>
      <c r="FG17" s="351"/>
      <c r="FH17" s="367"/>
      <c r="FI17" s="352"/>
      <c r="FJ17" s="351"/>
      <c r="FK17" s="367"/>
      <c r="FL17" s="352"/>
      <c r="FM17" s="351"/>
      <c r="FN17" s="367"/>
      <c r="FO17" s="352"/>
      <c r="FP17" s="351"/>
      <c r="FQ17" s="367"/>
      <c r="FR17" s="352"/>
      <c r="FS17" s="351"/>
      <c r="FT17" s="367"/>
      <c r="FU17" s="352"/>
      <c r="FV17" s="351"/>
      <c r="FW17" s="367"/>
      <c r="FX17" s="352"/>
      <c r="FY17" s="351"/>
      <c r="FZ17" s="367"/>
      <c r="GA17" s="352"/>
      <c r="GB17" s="351"/>
      <c r="GC17" s="367"/>
      <c r="GD17" s="352"/>
      <c r="GE17" s="351"/>
      <c r="GF17" s="367"/>
      <c r="GG17" s="352"/>
      <c r="GH17" s="351"/>
      <c r="GI17" s="367"/>
      <c r="GJ17" s="352"/>
      <c r="GK17" s="351"/>
      <c r="GL17" s="367"/>
      <c r="GM17" s="352"/>
      <c r="GN17" s="351"/>
      <c r="GO17" s="367"/>
      <c r="GP17" s="352"/>
      <c r="GQ17" s="351"/>
      <c r="GR17" s="367"/>
      <c r="GS17" s="352"/>
      <c r="GT17" s="351"/>
      <c r="GU17" s="367"/>
      <c r="GV17" s="352"/>
      <c r="GW17" s="351"/>
      <c r="GX17" s="367"/>
      <c r="GY17" s="352"/>
      <c r="GZ17" s="351"/>
      <c r="HA17" s="367"/>
      <c r="HB17" s="352"/>
      <c r="HC17" s="351"/>
      <c r="HD17" s="367"/>
      <c r="HE17" s="352"/>
      <c r="HF17" s="351"/>
      <c r="HG17" s="367"/>
      <c r="HH17" s="352"/>
      <c r="HI17" s="351"/>
      <c r="HJ17" s="367"/>
      <c r="HK17" s="352"/>
      <c r="HL17" s="351"/>
      <c r="HM17" s="367"/>
      <c r="HN17" s="352"/>
      <c r="HO17" s="351"/>
      <c r="HP17" s="367"/>
      <c r="HQ17" s="352"/>
      <c r="HR17" s="351"/>
      <c r="HS17" s="367"/>
      <c r="HT17" s="352"/>
      <c r="HU17" s="351"/>
      <c r="HV17" s="367"/>
      <c r="HW17" s="352"/>
      <c r="HX17" s="351"/>
      <c r="HY17" s="367"/>
      <c r="HZ17" s="352"/>
      <c r="IA17" s="351"/>
      <c r="IB17" s="367"/>
      <c r="IC17" s="352"/>
      <c r="ID17" s="351"/>
      <c r="IE17" s="367"/>
      <c r="IF17" s="352"/>
      <c r="IG17" s="351"/>
      <c r="IH17" s="367"/>
      <c r="II17" s="352"/>
      <c r="IJ17" s="351"/>
      <c r="IK17" s="367"/>
      <c r="IL17" s="352"/>
      <c r="IM17" s="351"/>
      <c r="IN17" s="367"/>
      <c r="IO17" s="352"/>
      <c r="IP17" s="351"/>
      <c r="IQ17" s="367"/>
      <c r="IR17" s="352"/>
      <c r="IS17" s="351"/>
      <c r="IT17" s="367"/>
      <c r="IU17" s="352"/>
      <c r="IV17" s="351"/>
      <c r="IW17" s="367"/>
      <c r="IX17" s="352"/>
      <c r="IY17" s="351"/>
      <c r="IZ17" s="367"/>
      <c r="JA17" s="352"/>
      <c r="JB17" s="351"/>
    </row>
    <row r="18" spans="1:262" ht="14.5" hidden="1" customHeight="1" x14ac:dyDescent="0.35">
      <c r="A18" s="366" t="s">
        <v>485</v>
      </c>
      <c r="B18" s="368">
        <v>3.7</v>
      </c>
      <c r="C18" s="365">
        <v>133</v>
      </c>
      <c r="D18" s="364">
        <v>1.7871780056168449</v>
      </c>
      <c r="E18" s="368">
        <v>3.7</v>
      </c>
      <c r="F18" s="365">
        <v>140.19999999999999</v>
      </c>
      <c r="G18" s="364">
        <v>1.5959202722853987</v>
      </c>
      <c r="H18" s="368">
        <v>3.5</v>
      </c>
      <c r="I18" s="365">
        <v>141.4</v>
      </c>
      <c r="J18" s="364">
        <v>1.5976317989740811</v>
      </c>
      <c r="K18" s="368">
        <v>3.5</v>
      </c>
      <c r="L18" s="365">
        <v>142.4</v>
      </c>
      <c r="M18" s="364">
        <v>1.466861698840108</v>
      </c>
      <c r="N18" s="368">
        <v>3.4</v>
      </c>
      <c r="O18" s="365">
        <v>137.6</v>
      </c>
      <c r="P18" s="364">
        <v>1.5357828474485467</v>
      </c>
      <c r="Q18" s="369">
        <v>3317</v>
      </c>
      <c r="R18" s="347">
        <v>136562</v>
      </c>
      <c r="S18" s="361">
        <v>1.5018190704034464</v>
      </c>
      <c r="T18" s="369">
        <v>3294</v>
      </c>
      <c r="U18" s="347">
        <v>135616</v>
      </c>
      <c r="V18" s="364">
        <v>1.4570565000474884</v>
      </c>
      <c r="W18" s="369">
        <v>3294</v>
      </c>
      <c r="X18" s="347">
        <v>141373</v>
      </c>
      <c r="Y18" s="344">
        <v>1.4271176882812935</v>
      </c>
      <c r="Z18" s="360">
        <v>3175</v>
      </c>
      <c r="AA18" s="347">
        <v>139154</v>
      </c>
      <c r="AB18" s="361">
        <v>1.4681172915507452</v>
      </c>
      <c r="AC18" s="369">
        <v>2602.15</v>
      </c>
      <c r="AD18" s="347">
        <v>118011.47900000001</v>
      </c>
      <c r="AE18" s="344">
        <v>1.2750440935365395</v>
      </c>
      <c r="AF18" s="369">
        <v>3047</v>
      </c>
      <c r="AG18" s="360">
        <v>148606</v>
      </c>
      <c r="AH18" s="344">
        <v>1.5238843020892483</v>
      </c>
      <c r="AI18" s="369">
        <v>2383.1</v>
      </c>
      <c r="AJ18" s="347">
        <v>116342.148</v>
      </c>
      <c r="AK18" s="344">
        <v>0.8189181274098376</v>
      </c>
      <c r="AL18" s="369">
        <v>2983</v>
      </c>
      <c r="AM18" s="360">
        <v>144580</v>
      </c>
      <c r="AN18" s="344">
        <v>0</v>
      </c>
      <c r="AO18" s="369">
        <v>2920</v>
      </c>
      <c r="AP18" s="360">
        <v>130187</v>
      </c>
      <c r="AQ18" s="344">
        <v>0.92848106226557869</v>
      </c>
      <c r="AR18" s="369">
        <v>2919.6379999999999</v>
      </c>
      <c r="AS18" s="347">
        <v>130186.71</v>
      </c>
      <c r="AT18" s="344">
        <v>1.059403315021975</v>
      </c>
      <c r="AU18" s="348">
        <v>2918</v>
      </c>
      <c r="AV18" s="347">
        <v>129553</v>
      </c>
      <c r="AW18" s="344">
        <v>0.98502372821973272</v>
      </c>
      <c r="AX18" s="369">
        <v>2856</v>
      </c>
      <c r="AY18" s="360">
        <v>126827</v>
      </c>
      <c r="AZ18" s="344">
        <v>0.99382058257929151</v>
      </c>
      <c r="BA18" s="369">
        <v>2792</v>
      </c>
      <c r="BB18" s="360">
        <v>134172</v>
      </c>
      <c r="BC18" s="344">
        <v>0.99519115551786586</v>
      </c>
      <c r="BD18" s="369">
        <v>2800</v>
      </c>
      <c r="BE18" s="347">
        <v>138700</v>
      </c>
      <c r="BF18" s="344">
        <v>0.98515491578807701</v>
      </c>
      <c r="BG18" s="357" t="s">
        <v>368</v>
      </c>
      <c r="BH18" s="357" t="s">
        <v>368</v>
      </c>
      <c r="BI18" s="357" t="s">
        <v>368</v>
      </c>
      <c r="BJ18" s="357" t="s">
        <v>368</v>
      </c>
      <c r="BK18" s="357" t="s">
        <v>368</v>
      </c>
      <c r="BL18" s="357" t="s">
        <v>368</v>
      </c>
      <c r="BM18" s="357" t="s">
        <v>368</v>
      </c>
      <c r="BN18" s="357" t="s">
        <v>368</v>
      </c>
      <c r="BO18" s="357" t="s">
        <v>368</v>
      </c>
      <c r="BP18" s="357" t="s">
        <v>368</v>
      </c>
      <c r="BQ18" s="357" t="s">
        <v>368</v>
      </c>
      <c r="BR18" s="357" t="s">
        <v>368</v>
      </c>
      <c r="BS18" s="357" t="s">
        <v>368</v>
      </c>
      <c r="BT18" s="357" t="s">
        <v>368</v>
      </c>
      <c r="BU18" s="357" t="s">
        <v>368</v>
      </c>
      <c r="BV18" s="357" t="s">
        <v>368</v>
      </c>
      <c r="BW18" s="357" t="s">
        <v>368</v>
      </c>
      <c r="BX18" s="357" t="s">
        <v>368</v>
      </c>
      <c r="BY18" s="357" t="s">
        <v>368</v>
      </c>
      <c r="BZ18" s="357" t="s">
        <v>368</v>
      </c>
      <c r="CA18" s="357" t="s">
        <v>368</v>
      </c>
      <c r="CB18" s="357" t="s">
        <v>368</v>
      </c>
      <c r="CC18" s="357" t="s">
        <v>368</v>
      </c>
      <c r="CD18" s="357" t="s">
        <v>368</v>
      </c>
      <c r="CE18" s="357" t="s">
        <v>368</v>
      </c>
      <c r="CF18" s="357" t="s">
        <v>368</v>
      </c>
      <c r="CG18" s="357" t="s">
        <v>368</v>
      </c>
      <c r="CH18" s="357" t="s">
        <v>368</v>
      </c>
      <c r="CI18" s="357" t="s">
        <v>368</v>
      </c>
      <c r="CJ18" s="357" t="s">
        <v>368</v>
      </c>
      <c r="CK18" s="357" t="s">
        <v>368</v>
      </c>
      <c r="CL18" s="357" t="s">
        <v>368</v>
      </c>
      <c r="CM18" s="357" t="s">
        <v>368</v>
      </c>
      <c r="CN18" s="357" t="s">
        <v>368</v>
      </c>
      <c r="CO18" s="357" t="s">
        <v>368</v>
      </c>
      <c r="CP18" s="357" t="s">
        <v>368</v>
      </c>
      <c r="CQ18" s="357" t="s">
        <v>368</v>
      </c>
      <c r="CR18" s="357" t="s">
        <v>368</v>
      </c>
      <c r="CS18" s="357" t="s">
        <v>368</v>
      </c>
      <c r="CT18" s="357" t="s">
        <v>368</v>
      </c>
      <c r="CU18" s="357" t="s">
        <v>368</v>
      </c>
      <c r="CV18" s="357" t="s">
        <v>368</v>
      </c>
      <c r="CW18" s="357" t="s">
        <v>368</v>
      </c>
      <c r="CX18" s="357" t="s">
        <v>368</v>
      </c>
      <c r="CY18" s="357" t="s">
        <v>368</v>
      </c>
      <c r="CZ18" s="357" t="s">
        <v>368</v>
      </c>
      <c r="DA18" s="357" t="s">
        <v>368</v>
      </c>
      <c r="DB18" s="357" t="s">
        <v>368</v>
      </c>
      <c r="DC18" s="357" t="s">
        <v>368</v>
      </c>
      <c r="DD18" s="357" t="s">
        <v>368</v>
      </c>
      <c r="DE18" s="357" t="s">
        <v>368</v>
      </c>
      <c r="DF18" s="357" t="s">
        <v>368</v>
      </c>
      <c r="DG18" s="357" t="s">
        <v>368</v>
      </c>
      <c r="DH18" s="357" t="s">
        <v>368</v>
      </c>
      <c r="DI18" s="357" t="s">
        <v>368</v>
      </c>
      <c r="DJ18" s="357" t="s">
        <v>368</v>
      </c>
      <c r="DK18" s="357" t="s">
        <v>368</v>
      </c>
      <c r="DL18" s="357" t="s">
        <v>368</v>
      </c>
      <c r="DM18" s="357" t="s">
        <v>368</v>
      </c>
      <c r="DN18" s="357" t="s">
        <v>368</v>
      </c>
      <c r="DO18" s="357" t="s">
        <v>368</v>
      </c>
      <c r="DP18" s="357" t="s">
        <v>368</v>
      </c>
      <c r="DQ18" s="357" t="s">
        <v>368</v>
      </c>
      <c r="DR18" s="357" t="s">
        <v>368</v>
      </c>
      <c r="DS18" s="357" t="s">
        <v>368</v>
      </c>
      <c r="DT18" s="357" t="s">
        <v>368</v>
      </c>
      <c r="DU18" s="357" t="s">
        <v>368</v>
      </c>
      <c r="DV18" s="357" t="s">
        <v>368</v>
      </c>
      <c r="DW18" s="357" t="s">
        <v>368</v>
      </c>
      <c r="DX18" s="357"/>
      <c r="DY18" s="357"/>
      <c r="DZ18" s="357" t="s">
        <v>368</v>
      </c>
      <c r="EA18" s="357"/>
      <c r="EB18" s="357"/>
      <c r="EC18" s="357" t="s">
        <v>368</v>
      </c>
      <c r="ED18" s="357"/>
      <c r="EE18" s="357"/>
      <c r="EF18" s="357" t="s">
        <v>368</v>
      </c>
      <c r="EG18" s="357"/>
      <c r="EH18" s="357"/>
      <c r="EI18" s="357" t="s">
        <v>368</v>
      </c>
      <c r="EJ18" s="357"/>
      <c r="EK18" s="357"/>
      <c r="EL18" s="357" t="s">
        <v>368</v>
      </c>
      <c r="EM18" s="357"/>
      <c r="EN18" s="357"/>
      <c r="EO18" s="357" t="s">
        <v>368</v>
      </c>
      <c r="EP18" s="357"/>
      <c r="EQ18" s="357"/>
      <c r="ER18" s="357" t="s">
        <v>368</v>
      </c>
      <c r="ES18" s="357"/>
      <c r="ET18" s="357"/>
      <c r="EU18" s="357" t="s">
        <v>368</v>
      </c>
      <c r="EV18" s="357"/>
      <c r="EW18" s="357"/>
      <c r="EX18" s="357" t="s">
        <v>368</v>
      </c>
      <c r="EY18" s="357"/>
      <c r="EZ18" s="357"/>
      <c r="FA18" s="357" t="s">
        <v>368</v>
      </c>
      <c r="FB18" s="357"/>
      <c r="FC18" s="357"/>
      <c r="FD18" s="357" t="s">
        <v>368</v>
      </c>
      <c r="FE18" s="357"/>
      <c r="FF18" s="357"/>
      <c r="FG18" s="357" t="s">
        <v>368</v>
      </c>
      <c r="FH18" s="357"/>
      <c r="FI18" s="357"/>
      <c r="FJ18" s="357" t="s">
        <v>368</v>
      </c>
      <c r="FK18" s="357"/>
      <c r="FL18" s="357"/>
      <c r="FM18" s="357" t="s">
        <v>368</v>
      </c>
      <c r="FN18" s="357"/>
      <c r="FO18" s="357"/>
      <c r="FP18" s="357" t="s">
        <v>368</v>
      </c>
      <c r="FQ18" s="357"/>
      <c r="FR18" s="357"/>
      <c r="FS18" s="357" t="s">
        <v>368</v>
      </c>
      <c r="FT18" s="357"/>
      <c r="FU18" s="357"/>
      <c r="FV18" s="357" t="s">
        <v>368</v>
      </c>
      <c r="FW18" s="357"/>
      <c r="FX18" s="357"/>
      <c r="FY18" s="357" t="s">
        <v>368</v>
      </c>
      <c r="FZ18" s="357"/>
      <c r="GA18" s="357"/>
      <c r="GB18" s="357" t="s">
        <v>368</v>
      </c>
      <c r="GC18" s="357"/>
      <c r="GD18" s="357"/>
      <c r="GE18" s="357" t="s">
        <v>368</v>
      </c>
      <c r="GF18" s="357"/>
      <c r="GG18" s="357"/>
      <c r="GH18" s="357" t="s">
        <v>368</v>
      </c>
      <c r="GI18" s="357"/>
      <c r="GJ18" s="357"/>
      <c r="GK18" s="357" t="s">
        <v>368</v>
      </c>
      <c r="GL18" s="357"/>
      <c r="GM18" s="357"/>
      <c r="GN18" s="357" t="s">
        <v>368</v>
      </c>
      <c r="GO18" s="357"/>
      <c r="GP18" s="357"/>
      <c r="GQ18" s="357" t="s">
        <v>368</v>
      </c>
      <c r="GR18" s="357"/>
      <c r="GS18" s="357"/>
      <c r="GT18" s="357" t="s">
        <v>368</v>
      </c>
      <c r="GU18" s="357"/>
      <c r="GV18" s="357"/>
      <c r="GW18" s="357" t="s">
        <v>368</v>
      </c>
      <c r="GX18" s="357"/>
      <c r="GY18" s="357"/>
      <c r="GZ18" s="357" t="s">
        <v>368</v>
      </c>
      <c r="HA18" s="357"/>
      <c r="HB18" s="357"/>
      <c r="HC18" s="357" t="s">
        <v>368</v>
      </c>
      <c r="HD18" s="357"/>
      <c r="HE18" s="357"/>
      <c r="HF18" s="357" t="s">
        <v>368</v>
      </c>
      <c r="HG18" s="357"/>
      <c r="HH18" s="357"/>
      <c r="HI18" s="357" t="s">
        <v>368</v>
      </c>
      <c r="HJ18" s="357"/>
      <c r="HK18" s="357"/>
      <c r="HL18" s="357" t="s">
        <v>368</v>
      </c>
      <c r="HM18" s="357"/>
      <c r="HN18" s="357"/>
      <c r="HO18" s="357" t="s">
        <v>368</v>
      </c>
      <c r="HP18" s="357"/>
      <c r="HQ18" s="357"/>
      <c r="HR18" s="357" t="s">
        <v>368</v>
      </c>
      <c r="HS18" s="357"/>
      <c r="HT18" s="357"/>
      <c r="HU18" s="357" t="s">
        <v>368</v>
      </c>
      <c r="HV18" s="357"/>
      <c r="HW18" s="357"/>
      <c r="HX18" s="357" t="s">
        <v>368</v>
      </c>
      <c r="HY18" s="357"/>
      <c r="HZ18" s="357"/>
      <c r="IA18" s="357" t="s">
        <v>368</v>
      </c>
      <c r="IB18" s="357"/>
      <c r="IC18" s="357"/>
      <c r="ID18" s="357" t="s">
        <v>368</v>
      </c>
      <c r="IE18" s="357"/>
      <c r="IF18" s="357"/>
      <c r="IG18" s="357" t="s">
        <v>368</v>
      </c>
      <c r="IH18" s="357"/>
      <c r="II18" s="357"/>
      <c r="IJ18" s="357" t="s">
        <v>368</v>
      </c>
      <c r="IK18" s="357"/>
      <c r="IL18" s="382"/>
      <c r="IM18" s="357" t="s">
        <v>368</v>
      </c>
      <c r="IN18" s="357"/>
      <c r="IO18" s="382"/>
      <c r="IP18" s="357" t="s">
        <v>368</v>
      </c>
      <c r="IQ18" s="357"/>
      <c r="IR18" s="382"/>
      <c r="IS18" s="357" t="s">
        <v>368</v>
      </c>
      <c r="IT18" s="357"/>
      <c r="IU18" s="382"/>
      <c r="IV18" s="357" t="s">
        <v>368</v>
      </c>
      <c r="IW18" s="357"/>
      <c r="IX18" s="382"/>
      <c r="IY18" s="357" t="s">
        <v>368</v>
      </c>
      <c r="IZ18" s="357"/>
      <c r="JA18" s="382"/>
      <c r="JB18" s="357" t="s">
        <v>368</v>
      </c>
    </row>
    <row r="19" spans="1:262" ht="14.5" hidden="1" customHeight="1" x14ac:dyDescent="0.35">
      <c r="A19" s="366"/>
      <c r="B19" s="368"/>
      <c r="C19" s="365"/>
      <c r="D19" s="364"/>
      <c r="E19" s="368"/>
      <c r="F19" s="365"/>
      <c r="G19" s="364"/>
      <c r="H19" s="368"/>
      <c r="I19" s="365"/>
      <c r="J19" s="364"/>
      <c r="K19" s="368"/>
      <c r="L19" s="365"/>
      <c r="M19" s="364"/>
      <c r="N19" s="368"/>
      <c r="O19" s="365"/>
      <c r="P19" s="364"/>
      <c r="Q19" s="369"/>
      <c r="R19" s="347"/>
      <c r="S19" s="361"/>
      <c r="T19" s="369"/>
      <c r="U19" s="347"/>
      <c r="V19" s="364"/>
      <c r="W19" s="369"/>
      <c r="X19" s="347"/>
      <c r="Y19" s="344"/>
      <c r="Z19" s="360"/>
      <c r="AA19" s="347"/>
      <c r="AB19" s="361"/>
      <c r="AC19" s="369"/>
      <c r="AD19" s="347"/>
      <c r="AE19" s="344"/>
      <c r="AF19" s="377"/>
      <c r="AH19" s="344"/>
      <c r="AI19" s="369"/>
      <c r="AJ19" s="347"/>
      <c r="AK19" s="344"/>
      <c r="AL19" s="377"/>
      <c r="AN19" s="344"/>
      <c r="AO19" s="377"/>
      <c r="AQ19" s="344"/>
      <c r="AR19" s="369"/>
      <c r="AS19" s="347"/>
      <c r="AT19" s="344"/>
      <c r="AU19" s="348"/>
      <c r="AV19" s="347"/>
      <c r="AW19" s="344"/>
      <c r="AX19" s="377"/>
      <c r="AZ19" s="344"/>
      <c r="BA19" s="377"/>
      <c r="BC19" s="344"/>
      <c r="BD19" s="369"/>
      <c r="BE19" s="347"/>
      <c r="BF19" s="344"/>
      <c r="BG19" s="369"/>
      <c r="BH19" s="347"/>
      <c r="BI19" s="344"/>
      <c r="BJ19" s="369"/>
      <c r="BK19" s="347"/>
      <c r="BL19" s="344"/>
      <c r="BM19" s="369"/>
      <c r="BN19" s="359"/>
      <c r="BO19" s="344"/>
      <c r="BP19" s="369"/>
      <c r="BQ19" s="340"/>
      <c r="BR19" s="344"/>
      <c r="BS19" s="369"/>
      <c r="BT19" s="340"/>
      <c r="BU19" s="344"/>
      <c r="BV19" s="360"/>
      <c r="BW19" s="340"/>
      <c r="BX19" s="375"/>
      <c r="BY19" s="369"/>
      <c r="BZ19" s="340"/>
      <c r="CA19" s="344"/>
      <c r="CB19" s="360"/>
      <c r="CC19" s="340"/>
      <c r="CD19" s="375"/>
      <c r="CE19" s="369"/>
      <c r="CF19" s="340"/>
      <c r="CG19" s="344"/>
      <c r="CH19" s="391"/>
      <c r="CI19" s="340"/>
      <c r="CJ19" s="344"/>
      <c r="CK19" s="390"/>
      <c r="CL19" s="340"/>
      <c r="CM19" s="344"/>
      <c r="CN19" s="380"/>
      <c r="CO19" s="340"/>
      <c r="CP19" s="375"/>
      <c r="CQ19" s="367"/>
      <c r="CR19" s="352"/>
      <c r="CS19" s="354"/>
      <c r="CT19" s="379"/>
      <c r="CU19" s="352"/>
      <c r="CV19" s="373"/>
      <c r="CW19" s="367"/>
      <c r="CX19" s="352"/>
      <c r="CY19" s="354"/>
      <c r="CZ19" s="379"/>
      <c r="DA19" s="352"/>
      <c r="DB19" s="354"/>
      <c r="DC19" s="367"/>
      <c r="DD19" s="352"/>
      <c r="DE19" s="354"/>
      <c r="DF19" s="367"/>
      <c r="DG19" s="352"/>
      <c r="DH19" s="354"/>
      <c r="DI19" s="367"/>
      <c r="DJ19" s="352"/>
      <c r="DK19" s="351"/>
      <c r="DL19" s="367"/>
      <c r="DM19" s="352"/>
      <c r="DN19" s="351"/>
      <c r="DO19" s="367"/>
      <c r="DP19" s="352"/>
      <c r="DQ19" s="351"/>
      <c r="DR19" s="367"/>
      <c r="DS19" s="352"/>
      <c r="DT19" s="351"/>
      <c r="DU19" s="367"/>
      <c r="DV19" s="352"/>
      <c r="DW19" s="351"/>
      <c r="DX19" s="367"/>
      <c r="DY19" s="352"/>
      <c r="DZ19" s="351"/>
      <c r="EA19" s="367"/>
      <c r="EB19" s="352"/>
      <c r="EC19" s="351"/>
      <c r="ED19" s="367"/>
      <c r="EE19" s="352"/>
      <c r="EF19" s="351"/>
      <c r="EG19" s="367"/>
      <c r="EH19" s="352"/>
      <c r="EI19" s="351"/>
      <c r="EJ19" s="367"/>
      <c r="EK19" s="352"/>
      <c r="EL19" s="351"/>
      <c r="EM19" s="367"/>
      <c r="EN19" s="352"/>
      <c r="EO19" s="351"/>
      <c r="EP19" s="367"/>
      <c r="EQ19" s="352"/>
      <c r="ER19" s="351"/>
      <c r="ES19" s="367"/>
      <c r="ET19" s="352"/>
      <c r="EU19" s="351"/>
      <c r="EV19" s="367"/>
      <c r="EW19" s="352"/>
      <c r="EX19" s="351"/>
      <c r="EY19" s="367"/>
      <c r="EZ19" s="352"/>
      <c r="FA19" s="351"/>
      <c r="FB19" s="367"/>
      <c r="FC19" s="352"/>
      <c r="FD19" s="351"/>
      <c r="FE19" s="367"/>
      <c r="FF19" s="352"/>
      <c r="FG19" s="351"/>
      <c r="FH19" s="367"/>
      <c r="FI19" s="352"/>
      <c r="FJ19" s="351"/>
      <c r="FK19" s="367"/>
      <c r="FL19" s="352"/>
      <c r="FM19" s="351"/>
      <c r="FN19" s="367"/>
      <c r="FO19" s="352"/>
      <c r="FP19" s="351"/>
      <c r="FQ19" s="367"/>
      <c r="FR19" s="352"/>
      <c r="FS19" s="351"/>
      <c r="FT19" s="367"/>
      <c r="FU19" s="352"/>
      <c r="FV19" s="351"/>
      <c r="FW19" s="367"/>
      <c r="FX19" s="352"/>
      <c r="FY19" s="351"/>
      <c r="FZ19" s="367"/>
      <c r="GA19" s="352"/>
      <c r="GB19" s="351"/>
      <c r="GC19" s="367"/>
      <c r="GD19" s="352"/>
      <c r="GE19" s="351"/>
      <c r="GF19" s="367"/>
      <c r="GG19" s="352"/>
      <c r="GH19" s="351"/>
      <c r="GI19" s="367"/>
      <c r="GJ19" s="352"/>
      <c r="GK19" s="351"/>
      <c r="GL19" s="367"/>
      <c r="GM19" s="352"/>
      <c r="GN19" s="351"/>
      <c r="GO19" s="367"/>
      <c r="GP19" s="352"/>
      <c r="GQ19" s="351"/>
      <c r="GR19" s="367"/>
      <c r="GS19" s="352"/>
      <c r="GT19" s="351"/>
      <c r="GU19" s="367"/>
      <c r="GV19" s="352"/>
      <c r="GW19" s="351"/>
      <c r="GX19" s="367"/>
      <c r="GY19" s="352"/>
      <c r="GZ19" s="351"/>
      <c r="HA19" s="367"/>
      <c r="HB19" s="352"/>
      <c r="HC19" s="351"/>
      <c r="HD19" s="367"/>
      <c r="HE19" s="352"/>
      <c r="HF19" s="351"/>
      <c r="HG19" s="367"/>
      <c r="HH19" s="352"/>
      <c r="HI19" s="351"/>
      <c r="HJ19" s="367"/>
      <c r="HK19" s="352"/>
      <c r="HL19" s="351"/>
      <c r="HM19" s="367"/>
      <c r="HN19" s="352"/>
      <c r="HO19" s="351"/>
      <c r="HP19" s="367"/>
      <c r="HQ19" s="352"/>
      <c r="HR19" s="351"/>
      <c r="HS19" s="367"/>
      <c r="HT19" s="352"/>
      <c r="HU19" s="351"/>
      <c r="HV19" s="367"/>
      <c r="HW19" s="352"/>
      <c r="HX19" s="351"/>
      <c r="HY19" s="367"/>
      <c r="HZ19" s="352"/>
      <c r="IA19" s="351"/>
      <c r="IB19" s="367"/>
      <c r="IC19" s="352"/>
      <c r="ID19" s="351"/>
      <c r="IE19" s="367"/>
      <c r="IF19" s="352"/>
      <c r="IG19" s="351"/>
      <c r="IH19" s="367"/>
      <c r="II19" s="352"/>
      <c r="IJ19" s="351"/>
      <c r="IK19" s="367"/>
      <c r="IL19" s="352"/>
      <c r="IM19" s="351"/>
      <c r="IN19" s="367"/>
      <c r="IO19" s="352"/>
      <c r="IP19" s="351"/>
      <c r="IQ19" s="367"/>
      <c r="IR19" s="352"/>
      <c r="IS19" s="351"/>
      <c r="IT19" s="367"/>
      <c r="IU19" s="352"/>
      <c r="IV19" s="351"/>
      <c r="IW19" s="367"/>
      <c r="IX19" s="352"/>
      <c r="IY19" s="351"/>
      <c r="IZ19" s="367"/>
      <c r="JA19" s="352"/>
      <c r="JB19" s="351"/>
    </row>
    <row r="20" spans="1:262" ht="14.5" hidden="1" customHeight="1" x14ac:dyDescent="0.35">
      <c r="A20" s="366" t="s">
        <v>484</v>
      </c>
      <c r="B20" s="389">
        <v>1.1000000000000001</v>
      </c>
      <c r="C20" s="389">
        <v>9.1999999999999993</v>
      </c>
      <c r="D20" s="364">
        <v>0.1236243432456765</v>
      </c>
      <c r="E20" s="389">
        <v>0.6</v>
      </c>
      <c r="F20" s="389">
        <v>5</v>
      </c>
      <c r="G20" s="364">
        <v>5.6915844232717505E-2</v>
      </c>
      <c r="H20" s="389">
        <v>0.1</v>
      </c>
      <c r="I20" s="389">
        <v>0.9</v>
      </c>
      <c r="J20" s="364">
        <v>1.0168802115110842E-2</v>
      </c>
      <c r="K20" s="363" t="s">
        <v>368</v>
      </c>
      <c r="L20" s="363" t="s">
        <v>368</v>
      </c>
      <c r="M20" s="363" t="s">
        <v>368</v>
      </c>
      <c r="N20" s="363" t="s">
        <v>368</v>
      </c>
      <c r="O20" s="363" t="s">
        <v>368</v>
      </c>
      <c r="P20" s="363" t="s">
        <v>368</v>
      </c>
      <c r="Q20" s="363" t="s">
        <v>368</v>
      </c>
      <c r="R20" s="363" t="s">
        <v>368</v>
      </c>
      <c r="S20" s="363" t="s">
        <v>368</v>
      </c>
      <c r="T20" s="363" t="s">
        <v>368</v>
      </c>
      <c r="U20" s="363" t="s">
        <v>368</v>
      </c>
      <c r="V20" s="363" t="s">
        <v>368</v>
      </c>
      <c r="W20" s="363" t="s">
        <v>368</v>
      </c>
      <c r="X20" s="363" t="s">
        <v>368</v>
      </c>
      <c r="Y20" s="363" t="s">
        <v>368</v>
      </c>
      <c r="Z20" s="363" t="s">
        <v>368</v>
      </c>
      <c r="AA20" s="363" t="s">
        <v>368</v>
      </c>
      <c r="AB20" s="363" t="s">
        <v>368</v>
      </c>
      <c r="AC20" s="363" t="s">
        <v>368</v>
      </c>
      <c r="AD20" s="363" t="s">
        <v>368</v>
      </c>
      <c r="AE20" s="363" t="s">
        <v>368</v>
      </c>
      <c r="AF20" s="363" t="s">
        <v>368</v>
      </c>
      <c r="AG20" s="363" t="s">
        <v>368</v>
      </c>
      <c r="AH20" s="363" t="s">
        <v>368</v>
      </c>
      <c r="AI20" s="363" t="s">
        <v>368</v>
      </c>
      <c r="AJ20" s="363" t="s">
        <v>368</v>
      </c>
      <c r="AK20" s="363" t="s">
        <v>368</v>
      </c>
      <c r="AL20" s="363" t="s">
        <v>368</v>
      </c>
      <c r="AM20" s="363" t="s">
        <v>368</v>
      </c>
      <c r="AN20" s="363" t="s">
        <v>368</v>
      </c>
      <c r="AO20" s="363" t="s">
        <v>368</v>
      </c>
      <c r="AP20" s="363" t="s">
        <v>368</v>
      </c>
      <c r="AQ20" s="363" t="s">
        <v>368</v>
      </c>
      <c r="AR20" s="363" t="s">
        <v>368</v>
      </c>
      <c r="AS20" s="363" t="s">
        <v>368</v>
      </c>
      <c r="AT20" s="363" t="s">
        <v>368</v>
      </c>
      <c r="AU20" s="363" t="s">
        <v>368</v>
      </c>
      <c r="AV20" s="363" t="s">
        <v>368</v>
      </c>
      <c r="AW20" s="363" t="s">
        <v>368</v>
      </c>
      <c r="AX20" s="363" t="s">
        <v>368</v>
      </c>
      <c r="AY20" s="363" t="s">
        <v>368</v>
      </c>
      <c r="AZ20" s="363" t="s">
        <v>368</v>
      </c>
      <c r="BA20" s="363" t="s">
        <v>368</v>
      </c>
      <c r="BB20" s="363" t="s">
        <v>368</v>
      </c>
      <c r="BC20" s="363" t="s">
        <v>368</v>
      </c>
      <c r="BD20" s="363" t="s">
        <v>368</v>
      </c>
      <c r="BE20" s="363" t="s">
        <v>368</v>
      </c>
      <c r="BF20" s="363" t="s">
        <v>368</v>
      </c>
      <c r="BG20" s="363" t="s">
        <v>368</v>
      </c>
      <c r="BH20" s="363" t="s">
        <v>368</v>
      </c>
      <c r="BI20" s="363" t="s">
        <v>368</v>
      </c>
      <c r="BJ20" s="363" t="s">
        <v>368</v>
      </c>
      <c r="BK20" s="363" t="s">
        <v>368</v>
      </c>
      <c r="BL20" s="363" t="s">
        <v>368</v>
      </c>
      <c r="BM20" s="363" t="s">
        <v>368</v>
      </c>
      <c r="BN20" s="363" t="s">
        <v>368</v>
      </c>
      <c r="BO20" s="363" t="s">
        <v>368</v>
      </c>
      <c r="BP20" s="363" t="s">
        <v>368</v>
      </c>
      <c r="BQ20" s="363" t="s">
        <v>368</v>
      </c>
      <c r="BR20" s="363" t="s">
        <v>368</v>
      </c>
      <c r="BS20" s="363" t="s">
        <v>368</v>
      </c>
      <c r="BT20" s="363" t="s">
        <v>368</v>
      </c>
      <c r="BU20" s="363" t="s">
        <v>368</v>
      </c>
      <c r="BV20" s="363" t="s">
        <v>368</v>
      </c>
      <c r="BW20" s="363" t="s">
        <v>368</v>
      </c>
      <c r="BX20" s="363" t="s">
        <v>368</v>
      </c>
      <c r="BY20" s="363" t="s">
        <v>368</v>
      </c>
      <c r="BZ20" s="363" t="s">
        <v>368</v>
      </c>
      <c r="CA20" s="363" t="s">
        <v>368</v>
      </c>
      <c r="CB20" s="363" t="s">
        <v>368</v>
      </c>
      <c r="CC20" s="363" t="s">
        <v>368</v>
      </c>
      <c r="CD20" s="363" t="s">
        <v>368</v>
      </c>
      <c r="CE20" s="363" t="s">
        <v>368</v>
      </c>
      <c r="CF20" s="363" t="s">
        <v>368</v>
      </c>
      <c r="CG20" s="363" t="s">
        <v>368</v>
      </c>
      <c r="CH20" s="363" t="s">
        <v>368</v>
      </c>
      <c r="CI20" s="363" t="s">
        <v>368</v>
      </c>
      <c r="CJ20" s="363" t="s">
        <v>368</v>
      </c>
      <c r="CK20" s="363" t="s">
        <v>368</v>
      </c>
      <c r="CL20" s="363" t="s">
        <v>368</v>
      </c>
      <c r="CM20" s="363" t="s">
        <v>368</v>
      </c>
      <c r="CN20" s="363" t="s">
        <v>368</v>
      </c>
      <c r="CO20" s="363" t="s">
        <v>368</v>
      </c>
      <c r="CP20" s="363" t="s">
        <v>368</v>
      </c>
      <c r="CQ20" s="363" t="s">
        <v>368</v>
      </c>
      <c r="CR20" s="363" t="s">
        <v>368</v>
      </c>
      <c r="CS20" s="363" t="s">
        <v>368</v>
      </c>
      <c r="CT20" s="363" t="s">
        <v>368</v>
      </c>
      <c r="CU20" s="363" t="s">
        <v>368</v>
      </c>
      <c r="CV20" s="363" t="s">
        <v>368</v>
      </c>
      <c r="CW20" s="363" t="s">
        <v>368</v>
      </c>
      <c r="CX20" s="363" t="s">
        <v>368</v>
      </c>
      <c r="CY20" s="363" t="s">
        <v>368</v>
      </c>
      <c r="CZ20" s="363" t="s">
        <v>368</v>
      </c>
      <c r="DA20" s="363" t="s">
        <v>368</v>
      </c>
      <c r="DB20" s="363" t="s">
        <v>368</v>
      </c>
      <c r="DC20" s="363" t="s">
        <v>368</v>
      </c>
      <c r="DD20" s="363" t="s">
        <v>368</v>
      </c>
      <c r="DE20" s="363" t="s">
        <v>368</v>
      </c>
      <c r="DF20" s="363" t="s">
        <v>368</v>
      </c>
      <c r="DG20" s="363" t="s">
        <v>368</v>
      </c>
      <c r="DH20" s="363" t="s">
        <v>368</v>
      </c>
      <c r="DI20" s="363" t="s">
        <v>368</v>
      </c>
      <c r="DJ20" s="363" t="s">
        <v>368</v>
      </c>
      <c r="DK20" s="363" t="s">
        <v>368</v>
      </c>
      <c r="DL20" s="363" t="s">
        <v>368</v>
      </c>
      <c r="DM20" s="363" t="s">
        <v>368</v>
      </c>
      <c r="DN20" s="363" t="s">
        <v>368</v>
      </c>
      <c r="DO20" s="363" t="s">
        <v>368</v>
      </c>
      <c r="DP20" s="363" t="s">
        <v>368</v>
      </c>
      <c r="DQ20" s="363" t="s">
        <v>368</v>
      </c>
      <c r="DR20" s="363" t="s">
        <v>368</v>
      </c>
      <c r="DS20" s="363" t="s">
        <v>368</v>
      </c>
      <c r="DT20" s="363" t="s">
        <v>368</v>
      </c>
      <c r="DU20" s="363" t="s">
        <v>368</v>
      </c>
      <c r="DV20" s="363" t="s">
        <v>368</v>
      </c>
      <c r="DW20" s="363" t="s">
        <v>368</v>
      </c>
      <c r="DX20" s="363"/>
      <c r="DY20" s="363"/>
      <c r="DZ20" s="363" t="s">
        <v>368</v>
      </c>
      <c r="EA20" s="363"/>
      <c r="EB20" s="363"/>
      <c r="EC20" s="363" t="s">
        <v>368</v>
      </c>
      <c r="ED20" s="363"/>
      <c r="EE20" s="363"/>
      <c r="EF20" s="363" t="s">
        <v>368</v>
      </c>
      <c r="EG20" s="363"/>
      <c r="EH20" s="363"/>
      <c r="EI20" s="363" t="s">
        <v>368</v>
      </c>
      <c r="EJ20" s="363"/>
      <c r="EK20" s="363"/>
      <c r="EL20" s="363" t="s">
        <v>368</v>
      </c>
      <c r="EM20" s="363"/>
      <c r="EN20" s="363"/>
      <c r="EO20" s="363" t="s">
        <v>368</v>
      </c>
      <c r="EP20" s="363"/>
      <c r="EQ20" s="363"/>
      <c r="ER20" s="363" t="s">
        <v>368</v>
      </c>
      <c r="ES20" s="363"/>
      <c r="ET20" s="363"/>
      <c r="EU20" s="363" t="s">
        <v>368</v>
      </c>
      <c r="EV20" s="363"/>
      <c r="EW20" s="363"/>
      <c r="EX20" s="363" t="s">
        <v>368</v>
      </c>
      <c r="EY20" s="363"/>
      <c r="EZ20" s="363"/>
      <c r="FA20" s="363" t="s">
        <v>368</v>
      </c>
      <c r="FB20" s="363"/>
      <c r="FC20" s="363"/>
      <c r="FD20" s="363" t="s">
        <v>368</v>
      </c>
      <c r="FE20" s="363"/>
      <c r="FF20" s="363"/>
      <c r="FG20" s="363" t="s">
        <v>368</v>
      </c>
      <c r="FH20" s="363"/>
      <c r="FI20" s="363"/>
      <c r="FJ20" s="363" t="s">
        <v>368</v>
      </c>
      <c r="FK20" s="363"/>
      <c r="FL20" s="363"/>
      <c r="FM20" s="363" t="s">
        <v>368</v>
      </c>
      <c r="FN20" s="363"/>
      <c r="FO20" s="363"/>
      <c r="FP20" s="363" t="s">
        <v>368</v>
      </c>
      <c r="FQ20" s="363"/>
      <c r="FR20" s="363"/>
      <c r="FS20" s="363" t="s">
        <v>368</v>
      </c>
      <c r="FT20" s="363"/>
      <c r="FU20" s="363"/>
      <c r="FV20" s="363" t="s">
        <v>368</v>
      </c>
      <c r="FW20" s="363"/>
      <c r="FX20" s="363"/>
      <c r="FY20" s="363" t="s">
        <v>368</v>
      </c>
      <c r="FZ20" s="363"/>
      <c r="GA20" s="363"/>
      <c r="GB20" s="363" t="s">
        <v>368</v>
      </c>
      <c r="GC20" s="363"/>
      <c r="GD20" s="363"/>
      <c r="GE20" s="363" t="s">
        <v>368</v>
      </c>
      <c r="GF20" s="363"/>
      <c r="GG20" s="363"/>
      <c r="GH20" s="363" t="s">
        <v>368</v>
      </c>
      <c r="GI20" s="363"/>
      <c r="GJ20" s="363"/>
      <c r="GK20" s="363" t="s">
        <v>368</v>
      </c>
      <c r="GL20" s="363"/>
      <c r="GM20" s="363"/>
      <c r="GN20" s="363" t="s">
        <v>368</v>
      </c>
      <c r="GO20" s="363"/>
      <c r="GP20" s="363"/>
      <c r="GQ20" s="363" t="s">
        <v>368</v>
      </c>
      <c r="GR20" s="363"/>
      <c r="GS20" s="363"/>
      <c r="GT20" s="363" t="s">
        <v>368</v>
      </c>
      <c r="GU20" s="363"/>
      <c r="GV20" s="363"/>
      <c r="GW20" s="363" t="s">
        <v>368</v>
      </c>
      <c r="GX20" s="363"/>
      <c r="GY20" s="363"/>
      <c r="GZ20" s="363" t="s">
        <v>368</v>
      </c>
      <c r="HA20" s="363"/>
      <c r="HB20" s="363"/>
      <c r="HC20" s="363" t="s">
        <v>368</v>
      </c>
      <c r="HD20" s="363"/>
      <c r="HE20" s="363"/>
      <c r="HF20" s="363" t="s">
        <v>368</v>
      </c>
      <c r="HG20" s="363"/>
      <c r="HH20" s="363"/>
      <c r="HI20" s="363" t="s">
        <v>368</v>
      </c>
      <c r="HJ20" s="363"/>
      <c r="HK20" s="363"/>
      <c r="HL20" s="363" t="s">
        <v>368</v>
      </c>
      <c r="HM20" s="363"/>
      <c r="HN20" s="363"/>
      <c r="HO20" s="363" t="s">
        <v>368</v>
      </c>
      <c r="HP20" s="363"/>
      <c r="HQ20" s="363"/>
      <c r="HR20" s="363" t="s">
        <v>368</v>
      </c>
      <c r="HS20" s="363"/>
      <c r="HT20" s="363"/>
      <c r="HU20" s="363" t="s">
        <v>368</v>
      </c>
      <c r="HV20" s="363"/>
      <c r="HW20" s="363"/>
      <c r="HX20" s="363" t="s">
        <v>368</v>
      </c>
      <c r="HY20" s="363"/>
      <c r="HZ20" s="363"/>
      <c r="IA20" s="363" t="s">
        <v>368</v>
      </c>
      <c r="IB20" s="363"/>
      <c r="IC20" s="363"/>
      <c r="ID20" s="363" t="s">
        <v>368</v>
      </c>
      <c r="IE20" s="363"/>
      <c r="IF20" s="363"/>
      <c r="IG20" s="363" t="s">
        <v>368</v>
      </c>
      <c r="IH20" s="363"/>
      <c r="II20" s="363"/>
      <c r="IJ20" s="363" t="s">
        <v>368</v>
      </c>
      <c r="IK20" s="363"/>
      <c r="IL20" s="388"/>
      <c r="IM20" s="363" t="s">
        <v>368</v>
      </c>
      <c r="IN20" s="363"/>
      <c r="IO20" s="388"/>
      <c r="IP20" s="363" t="s">
        <v>368</v>
      </c>
      <c r="IQ20" s="363"/>
      <c r="IR20" s="388"/>
      <c r="IS20" s="363" t="s">
        <v>368</v>
      </c>
      <c r="IT20" s="363"/>
      <c r="IU20" s="388"/>
      <c r="IV20" s="363" t="s">
        <v>368</v>
      </c>
      <c r="IW20" s="363"/>
      <c r="IX20" s="388"/>
      <c r="IY20" s="363" t="s">
        <v>368</v>
      </c>
      <c r="IZ20" s="363"/>
      <c r="JA20" s="388"/>
      <c r="JB20" s="363" t="s">
        <v>368</v>
      </c>
    </row>
    <row r="21" spans="1:262" ht="14.5" hidden="1" customHeight="1" x14ac:dyDescent="0.35">
      <c r="A21" s="366"/>
      <c r="B21" s="368"/>
      <c r="C21" s="365"/>
      <c r="D21" s="364"/>
      <c r="E21" s="368"/>
      <c r="F21" s="365"/>
      <c r="G21" s="364"/>
      <c r="H21" s="368"/>
      <c r="I21" s="365"/>
      <c r="J21" s="364"/>
      <c r="K21" s="368"/>
      <c r="L21" s="365"/>
      <c r="M21" s="364"/>
      <c r="N21" s="368"/>
      <c r="O21" s="365"/>
      <c r="P21" s="364"/>
      <c r="Q21" s="369"/>
      <c r="R21" s="347"/>
      <c r="S21" s="361"/>
      <c r="T21" s="369"/>
      <c r="U21" s="347"/>
      <c r="V21" s="364"/>
      <c r="W21" s="369"/>
      <c r="X21" s="347"/>
      <c r="Y21" s="344"/>
      <c r="Z21" s="360"/>
      <c r="AA21" s="347"/>
      <c r="AB21" s="361"/>
      <c r="AC21" s="369"/>
      <c r="AD21" s="347"/>
      <c r="AE21" s="344"/>
      <c r="AF21" s="377"/>
      <c r="AH21" s="344"/>
      <c r="AI21" s="369"/>
      <c r="AJ21" s="347"/>
      <c r="AK21" s="344"/>
      <c r="AL21" s="377"/>
      <c r="AN21" s="344"/>
      <c r="AO21" s="377"/>
      <c r="AQ21" s="344"/>
      <c r="AR21" s="369"/>
      <c r="AS21" s="347"/>
      <c r="AT21" s="344"/>
      <c r="AU21" s="348"/>
      <c r="AV21" s="347"/>
      <c r="AW21" s="344"/>
      <c r="AX21" s="377"/>
      <c r="AZ21" s="344"/>
      <c r="BA21" s="377"/>
      <c r="BC21" s="344"/>
      <c r="BD21" s="369"/>
      <c r="BE21" s="347"/>
      <c r="BF21" s="344"/>
      <c r="BG21" s="369"/>
      <c r="BH21" s="347"/>
      <c r="BI21" s="344"/>
      <c r="BJ21" s="369"/>
      <c r="BK21" s="347"/>
      <c r="BL21" s="344"/>
      <c r="BM21" s="369"/>
      <c r="BN21" s="359"/>
      <c r="BO21" s="344"/>
      <c r="BP21" s="369"/>
      <c r="BQ21" s="340"/>
      <c r="BR21" s="344"/>
      <c r="BS21" s="369"/>
      <c r="BT21" s="340"/>
      <c r="BU21" s="344"/>
      <c r="BV21" s="360"/>
      <c r="BW21" s="340"/>
      <c r="BX21" s="375"/>
      <c r="BY21" s="369"/>
      <c r="BZ21" s="340"/>
      <c r="CA21" s="344"/>
      <c r="CB21" s="360"/>
      <c r="CC21" s="340"/>
      <c r="CD21" s="375"/>
      <c r="CE21" s="369"/>
      <c r="CF21" s="340"/>
      <c r="CG21" s="344"/>
      <c r="CH21" s="370"/>
      <c r="CI21" s="340"/>
      <c r="CJ21" s="344"/>
      <c r="CK21" s="348"/>
      <c r="CL21" s="340"/>
      <c r="CM21" s="344"/>
      <c r="CN21" s="380"/>
      <c r="CO21" s="340"/>
      <c r="CP21" s="375"/>
      <c r="CQ21" s="367"/>
      <c r="CR21" s="352"/>
      <c r="CS21" s="354"/>
      <c r="CT21" s="379"/>
      <c r="CU21" s="352"/>
      <c r="CV21" s="373"/>
      <c r="CW21" s="367"/>
      <c r="CX21" s="352"/>
      <c r="CY21" s="354"/>
      <c r="CZ21" s="379"/>
      <c r="DA21" s="352"/>
      <c r="DB21" s="354"/>
      <c r="DC21" s="367"/>
      <c r="DD21" s="352"/>
      <c r="DE21" s="354"/>
      <c r="DF21" s="367"/>
      <c r="DG21" s="352"/>
      <c r="DH21" s="354"/>
      <c r="DI21" s="367"/>
      <c r="DJ21" s="352"/>
      <c r="DK21" s="351"/>
      <c r="DL21" s="367"/>
      <c r="DM21" s="352"/>
      <c r="DN21" s="351"/>
      <c r="DO21" s="367"/>
      <c r="DP21" s="352"/>
      <c r="DQ21" s="351"/>
      <c r="DR21" s="367"/>
      <c r="DS21" s="352"/>
      <c r="DT21" s="351"/>
      <c r="DU21" s="367"/>
      <c r="DV21" s="352"/>
      <c r="DW21" s="351"/>
      <c r="DX21" s="367"/>
      <c r="DY21" s="352"/>
      <c r="DZ21" s="351"/>
      <c r="EA21" s="367"/>
      <c r="EB21" s="352"/>
      <c r="EC21" s="351"/>
      <c r="ED21" s="367"/>
      <c r="EE21" s="352"/>
      <c r="EF21" s="351"/>
      <c r="EG21" s="367"/>
      <c r="EH21" s="352"/>
      <c r="EI21" s="351"/>
      <c r="EJ21" s="367"/>
      <c r="EK21" s="352"/>
      <c r="EL21" s="351"/>
      <c r="EM21" s="367"/>
      <c r="EN21" s="352"/>
      <c r="EO21" s="351"/>
      <c r="EP21" s="367"/>
      <c r="EQ21" s="352"/>
      <c r="ER21" s="351"/>
      <c r="ES21" s="367"/>
      <c r="ET21" s="352"/>
      <c r="EU21" s="351"/>
      <c r="EV21" s="367"/>
      <c r="EW21" s="352"/>
      <c r="EX21" s="351"/>
      <c r="EY21" s="367"/>
      <c r="EZ21" s="352"/>
      <c r="FA21" s="351"/>
      <c r="FB21" s="367"/>
      <c r="FC21" s="352"/>
      <c r="FD21" s="351"/>
      <c r="FE21" s="367"/>
      <c r="FF21" s="352"/>
      <c r="FG21" s="351"/>
      <c r="FH21" s="367"/>
      <c r="FI21" s="352"/>
      <c r="FJ21" s="351"/>
      <c r="FK21" s="367"/>
      <c r="FL21" s="352"/>
      <c r="FM21" s="351"/>
      <c r="FN21" s="367"/>
      <c r="FO21" s="352"/>
      <c r="FP21" s="351"/>
      <c r="FQ21" s="367"/>
      <c r="FR21" s="352"/>
      <c r="FS21" s="351"/>
      <c r="FT21" s="367"/>
      <c r="FU21" s="352"/>
      <c r="FV21" s="351"/>
      <c r="FW21" s="367"/>
      <c r="FX21" s="352"/>
      <c r="FY21" s="351"/>
      <c r="FZ21" s="367"/>
      <c r="GA21" s="352"/>
      <c r="GB21" s="351"/>
      <c r="GC21" s="367"/>
      <c r="GD21" s="352"/>
      <c r="GE21" s="351"/>
      <c r="GF21" s="367"/>
      <c r="GG21" s="352"/>
      <c r="GH21" s="351"/>
      <c r="GI21" s="367"/>
      <c r="GJ21" s="352"/>
      <c r="GK21" s="351"/>
      <c r="GL21" s="367"/>
      <c r="GM21" s="352"/>
      <c r="GN21" s="351"/>
      <c r="GO21" s="367"/>
      <c r="GP21" s="352"/>
      <c r="GQ21" s="351"/>
      <c r="GR21" s="367"/>
      <c r="GS21" s="352"/>
      <c r="GT21" s="351"/>
      <c r="GU21" s="367"/>
      <c r="GV21" s="352"/>
      <c r="GW21" s="351"/>
      <c r="GX21" s="367"/>
      <c r="GY21" s="352"/>
      <c r="GZ21" s="351"/>
      <c r="HA21" s="367"/>
      <c r="HB21" s="352"/>
      <c r="HC21" s="351"/>
      <c r="HD21" s="367"/>
      <c r="HE21" s="352"/>
      <c r="HF21" s="351"/>
      <c r="HG21" s="367"/>
      <c r="HH21" s="352"/>
      <c r="HI21" s="351"/>
      <c r="HJ21" s="367"/>
      <c r="HK21" s="352"/>
      <c r="HL21" s="351"/>
      <c r="HM21" s="367"/>
      <c r="HN21" s="352"/>
      <c r="HO21" s="351"/>
      <c r="HP21" s="367"/>
      <c r="HQ21" s="352"/>
      <c r="HR21" s="351"/>
      <c r="HS21" s="367"/>
      <c r="HT21" s="352"/>
      <c r="HU21" s="351"/>
      <c r="HV21" s="367"/>
      <c r="HW21" s="352"/>
      <c r="HX21" s="351"/>
      <c r="HY21" s="367"/>
      <c r="HZ21" s="352"/>
      <c r="IA21" s="351"/>
      <c r="IB21" s="367"/>
      <c r="IC21" s="352"/>
      <c r="ID21" s="351"/>
      <c r="IE21" s="367"/>
      <c r="IF21" s="352"/>
      <c r="IG21" s="351"/>
      <c r="IH21" s="367"/>
      <c r="II21" s="352"/>
      <c r="IJ21" s="351"/>
      <c r="IK21" s="367"/>
      <c r="IL21" s="352"/>
      <c r="IM21" s="351"/>
      <c r="IN21" s="367"/>
      <c r="IO21" s="352"/>
      <c r="IP21" s="351"/>
      <c r="IQ21" s="367"/>
      <c r="IR21" s="352"/>
      <c r="IS21" s="351"/>
      <c r="IT21" s="367"/>
      <c r="IU21" s="352"/>
      <c r="IV21" s="351"/>
      <c r="IW21" s="367"/>
      <c r="IX21" s="352"/>
      <c r="IY21" s="351"/>
      <c r="IZ21" s="367"/>
      <c r="JA21" s="352"/>
      <c r="JB21" s="351"/>
    </row>
    <row r="22" spans="1:262" ht="14.5" hidden="1" customHeight="1" x14ac:dyDescent="0.35">
      <c r="A22" s="366" t="s">
        <v>478</v>
      </c>
      <c r="B22" s="368">
        <v>7.3</v>
      </c>
      <c r="C22" s="365">
        <v>735.6</v>
      </c>
      <c r="D22" s="364">
        <v>9.8845724882086561</v>
      </c>
      <c r="E22" s="368">
        <v>7.5</v>
      </c>
      <c r="F22" s="365">
        <v>762.7</v>
      </c>
      <c r="G22" s="364">
        <v>8.6819428792587292</v>
      </c>
      <c r="H22" s="368">
        <v>7.4</v>
      </c>
      <c r="I22" s="365">
        <v>747.4</v>
      </c>
      <c r="J22" s="364">
        <v>8.444625223148714</v>
      </c>
      <c r="K22" s="368">
        <v>7.8</v>
      </c>
      <c r="L22" s="365">
        <v>787.5</v>
      </c>
      <c r="M22" s="364">
        <v>8.1120336224479299</v>
      </c>
      <c r="N22" s="368">
        <v>7.6</v>
      </c>
      <c r="O22" s="365">
        <v>717.1</v>
      </c>
      <c r="P22" s="364">
        <v>8.003705522567973</v>
      </c>
      <c r="Q22" s="369">
        <v>7361</v>
      </c>
      <c r="R22" s="347">
        <v>723181</v>
      </c>
      <c r="S22" s="361">
        <v>7.9530690613306394</v>
      </c>
      <c r="T22" s="369">
        <v>6796</v>
      </c>
      <c r="U22" s="347">
        <v>676063</v>
      </c>
      <c r="V22" s="364">
        <v>7.2636118790674056</v>
      </c>
      <c r="W22" s="369">
        <v>7881</v>
      </c>
      <c r="X22" s="347">
        <v>802688</v>
      </c>
      <c r="Y22" s="344">
        <v>8.1028926525654459</v>
      </c>
      <c r="Z22" s="360">
        <v>7324</v>
      </c>
      <c r="AA22" s="347">
        <v>796219</v>
      </c>
      <c r="AB22" s="361">
        <v>8.4003541526743231</v>
      </c>
      <c r="AC22" s="369">
        <v>7245.8509999999997</v>
      </c>
      <c r="AD22" s="347">
        <v>783072.2</v>
      </c>
      <c r="AE22" s="344">
        <v>8.4606310494817514</v>
      </c>
      <c r="AF22" s="369">
        <v>6818</v>
      </c>
      <c r="AG22" s="370">
        <v>795555</v>
      </c>
      <c r="AH22" s="344">
        <v>8.1580405632922748</v>
      </c>
      <c r="AI22" s="369">
        <v>6652</v>
      </c>
      <c r="AJ22" s="347">
        <v>738927.1</v>
      </c>
      <c r="AK22" s="344">
        <v>5.2012173354782973</v>
      </c>
      <c r="AL22" s="369">
        <v>6362</v>
      </c>
      <c r="AM22" s="370">
        <v>715656</v>
      </c>
      <c r="AN22" s="344">
        <v>0.68047463105516104</v>
      </c>
      <c r="AO22" s="369">
        <v>6187</v>
      </c>
      <c r="AP22" s="370">
        <v>664911</v>
      </c>
      <c r="AQ22" s="344">
        <v>4.742080788343447</v>
      </c>
      <c r="AR22" s="369">
        <v>6042.9</v>
      </c>
      <c r="AS22" s="347">
        <v>614623.31799999997</v>
      </c>
      <c r="AT22" s="344">
        <v>5.001539562517598</v>
      </c>
      <c r="AU22" s="348">
        <v>6020</v>
      </c>
      <c r="AV22" s="347">
        <v>625700</v>
      </c>
      <c r="AW22" s="344">
        <v>4.7573529501214695</v>
      </c>
      <c r="AX22" s="369">
        <v>5942</v>
      </c>
      <c r="AY22" s="370">
        <v>653452</v>
      </c>
      <c r="AZ22" s="344">
        <v>5.1204715662091127</v>
      </c>
      <c r="BA22" s="369">
        <v>5709</v>
      </c>
      <c r="BB22" s="370">
        <v>679418</v>
      </c>
      <c r="BC22" s="344">
        <v>5.0394328511137756</v>
      </c>
      <c r="BD22" s="369">
        <v>5600</v>
      </c>
      <c r="BE22" s="347">
        <v>651800</v>
      </c>
      <c r="BF22" s="344">
        <v>4.6295888544388504</v>
      </c>
      <c r="BG22" s="369">
        <v>5400</v>
      </c>
      <c r="BH22" s="347">
        <v>610000</v>
      </c>
      <c r="BI22" s="344">
        <v>0.68047463105516104</v>
      </c>
      <c r="BJ22" s="369">
        <v>5200</v>
      </c>
      <c r="BK22" s="347">
        <v>566700</v>
      </c>
      <c r="BL22" s="344">
        <v>2.5457230639634596</v>
      </c>
      <c r="BM22" s="369">
        <v>5100</v>
      </c>
      <c r="BN22" s="359">
        <v>548.79999999999995</v>
      </c>
      <c r="BO22" s="344">
        <v>2.5387074241464012</v>
      </c>
      <c r="BP22" s="369">
        <v>5000</v>
      </c>
      <c r="BQ22" s="340">
        <v>542</v>
      </c>
      <c r="BR22" s="344">
        <v>2.5789138109875043</v>
      </c>
      <c r="BS22" s="369">
        <v>4800</v>
      </c>
      <c r="BT22" s="340">
        <v>539.29999999999995</v>
      </c>
      <c r="BU22" s="344">
        <v>2.5180108041479712</v>
      </c>
      <c r="BV22" s="360">
        <v>4700</v>
      </c>
      <c r="BW22" s="340">
        <v>505.4</v>
      </c>
      <c r="BX22" s="375">
        <v>2.0779028557802208</v>
      </c>
      <c r="BY22" s="369">
        <v>5000</v>
      </c>
      <c r="BZ22" s="340">
        <v>496</v>
      </c>
      <c r="CA22" s="344">
        <v>1.8513196251077759</v>
      </c>
      <c r="CB22" s="360">
        <v>4000</v>
      </c>
      <c r="CC22" s="340">
        <v>462</v>
      </c>
      <c r="CD22" s="375">
        <v>1.574856831197164</v>
      </c>
      <c r="CE22" s="369">
        <v>4000</v>
      </c>
      <c r="CF22" s="340">
        <v>449</v>
      </c>
      <c r="CG22" s="344">
        <v>1.5089393735717165</v>
      </c>
      <c r="CH22" s="370">
        <v>4000</v>
      </c>
      <c r="CI22" s="340">
        <v>442</v>
      </c>
      <c r="CJ22" s="344">
        <v>1.4288300403434364</v>
      </c>
      <c r="CK22" s="348">
        <v>4000</v>
      </c>
      <c r="CL22" s="340">
        <v>427</v>
      </c>
      <c r="CM22" s="344">
        <v>1.3619893337416111</v>
      </c>
      <c r="CN22" s="380">
        <v>4</v>
      </c>
      <c r="CO22" s="340">
        <v>409</v>
      </c>
      <c r="CP22" s="375">
        <v>1.3065422949143879</v>
      </c>
      <c r="CQ22" s="367">
        <v>4</v>
      </c>
      <c r="CR22" s="352">
        <v>420</v>
      </c>
      <c r="CS22" s="354">
        <v>1.2250612530626532</v>
      </c>
      <c r="CT22" s="379">
        <v>4</v>
      </c>
      <c r="CU22" s="352">
        <v>400</v>
      </c>
      <c r="CV22" s="373">
        <v>1.1337225780851425</v>
      </c>
      <c r="CW22" s="367">
        <v>3</v>
      </c>
      <c r="CX22" s="352">
        <v>383</v>
      </c>
      <c r="CY22" s="354">
        <v>1.0654574790664033</v>
      </c>
      <c r="CZ22" s="379">
        <v>3</v>
      </c>
      <c r="DA22" s="352">
        <v>374</v>
      </c>
      <c r="DB22" s="354">
        <v>1.0010974597821141</v>
      </c>
      <c r="DC22" s="367">
        <v>3</v>
      </c>
      <c r="DD22" s="352">
        <v>355</v>
      </c>
      <c r="DE22" s="354">
        <v>0.83470491417822723</v>
      </c>
      <c r="DF22" s="367">
        <v>3</v>
      </c>
      <c r="DG22" s="352">
        <v>342</v>
      </c>
      <c r="DH22" s="354">
        <v>0.74945762934718296</v>
      </c>
      <c r="DI22" s="367">
        <v>3</v>
      </c>
      <c r="DJ22" s="352">
        <v>320</v>
      </c>
      <c r="DK22" s="351">
        <v>0.67851236164708884</v>
      </c>
      <c r="DL22" s="367">
        <v>3</v>
      </c>
      <c r="DM22" s="352">
        <v>310</v>
      </c>
      <c r="DN22" s="351">
        <v>0.63571487162660978</v>
      </c>
      <c r="DO22" s="367">
        <v>3</v>
      </c>
      <c r="DP22" s="352">
        <v>294</v>
      </c>
      <c r="DQ22" s="351">
        <v>0.57136194029850751</v>
      </c>
      <c r="DR22" s="367">
        <v>3</v>
      </c>
      <c r="DS22" s="352">
        <v>286</v>
      </c>
      <c r="DT22" s="351">
        <v>0.55749400596479592</v>
      </c>
      <c r="DU22" s="367">
        <v>0</v>
      </c>
      <c r="DV22" s="352">
        <v>0</v>
      </c>
      <c r="DW22" s="351">
        <v>0</v>
      </c>
      <c r="DX22" s="367">
        <v>0</v>
      </c>
      <c r="DY22" s="352">
        <v>0</v>
      </c>
      <c r="DZ22" s="351">
        <v>0</v>
      </c>
      <c r="EA22" s="367">
        <v>0</v>
      </c>
      <c r="EB22" s="352">
        <v>0</v>
      </c>
      <c r="EC22" s="351">
        <v>0</v>
      </c>
      <c r="ED22" s="367">
        <v>0</v>
      </c>
      <c r="EE22" s="352">
        <v>0</v>
      </c>
      <c r="EF22" s="351">
        <v>0</v>
      </c>
      <c r="EG22" s="367">
        <v>0</v>
      </c>
      <c r="EH22" s="352">
        <v>0</v>
      </c>
      <c r="EI22" s="351">
        <v>0</v>
      </c>
      <c r="EJ22" s="367">
        <v>0</v>
      </c>
      <c r="EK22" s="352">
        <v>0</v>
      </c>
      <c r="EL22" s="351">
        <v>0</v>
      </c>
      <c r="EM22" s="367">
        <v>0</v>
      </c>
      <c r="EN22" s="352">
        <v>0</v>
      </c>
      <c r="EO22" s="351">
        <v>0</v>
      </c>
      <c r="EP22" s="367">
        <v>0</v>
      </c>
      <c r="EQ22" s="352">
        <v>0</v>
      </c>
      <c r="ER22" s="351">
        <v>0</v>
      </c>
      <c r="ES22" s="367">
        <v>0</v>
      </c>
      <c r="ET22" s="352">
        <v>0</v>
      </c>
      <c r="EU22" s="351">
        <v>0</v>
      </c>
      <c r="EV22" s="367">
        <v>0</v>
      </c>
      <c r="EW22" s="352">
        <v>0</v>
      </c>
      <c r="EX22" s="351">
        <v>0</v>
      </c>
      <c r="EY22" s="367">
        <v>0</v>
      </c>
      <c r="EZ22" s="352">
        <v>0</v>
      </c>
      <c r="FA22" s="351">
        <v>0</v>
      </c>
      <c r="FB22" s="367">
        <v>0</v>
      </c>
      <c r="FC22" s="352">
        <v>0</v>
      </c>
      <c r="FD22" s="351">
        <v>0</v>
      </c>
      <c r="FE22" s="367">
        <v>0</v>
      </c>
      <c r="FF22" s="352">
        <v>0</v>
      </c>
      <c r="FG22" s="351">
        <v>0</v>
      </c>
      <c r="FH22" s="367">
        <v>0</v>
      </c>
      <c r="FI22" s="352">
        <v>0</v>
      </c>
      <c r="FJ22" s="351">
        <v>0</v>
      </c>
      <c r="FK22" s="367"/>
      <c r="FL22" s="352"/>
      <c r="FM22" s="351">
        <v>0</v>
      </c>
      <c r="FN22" s="367"/>
      <c r="FO22" s="352"/>
      <c r="FP22" s="351">
        <v>0</v>
      </c>
      <c r="FQ22" s="367"/>
      <c r="FR22" s="352"/>
      <c r="FS22" s="351">
        <v>0</v>
      </c>
      <c r="FT22" s="367"/>
      <c r="FU22" s="352"/>
      <c r="FV22" s="351">
        <v>0</v>
      </c>
      <c r="FW22" s="367"/>
      <c r="FX22" s="352"/>
      <c r="FY22" s="351">
        <v>0</v>
      </c>
      <c r="FZ22" s="367"/>
      <c r="GA22" s="352"/>
      <c r="GB22" s="351">
        <v>0</v>
      </c>
      <c r="GC22" s="367"/>
      <c r="GD22" s="352"/>
      <c r="GE22" s="351">
        <v>0</v>
      </c>
      <c r="GF22" s="367"/>
      <c r="GG22" s="352"/>
      <c r="GH22" s="351">
        <v>0</v>
      </c>
      <c r="GI22" s="367"/>
      <c r="GJ22" s="352"/>
      <c r="GK22" s="351">
        <v>0</v>
      </c>
      <c r="GL22" s="367"/>
      <c r="GM22" s="352"/>
      <c r="GN22" s="351">
        <v>0</v>
      </c>
      <c r="GO22" s="367"/>
      <c r="GP22" s="352"/>
      <c r="GQ22" s="351">
        <v>0</v>
      </c>
      <c r="GR22" s="367"/>
      <c r="GS22" s="352"/>
      <c r="GT22" s="351">
        <v>0</v>
      </c>
      <c r="GU22" s="367"/>
      <c r="GV22" s="352"/>
      <c r="GW22" s="351">
        <v>0</v>
      </c>
      <c r="GX22" s="367"/>
      <c r="GY22" s="352"/>
      <c r="GZ22" s="351">
        <v>0</v>
      </c>
      <c r="HA22" s="367"/>
      <c r="HB22" s="352"/>
      <c r="HC22" s="351">
        <v>0</v>
      </c>
      <c r="HD22" s="367"/>
      <c r="HE22" s="352"/>
      <c r="HF22" s="351">
        <v>0</v>
      </c>
      <c r="HG22" s="367"/>
      <c r="HH22" s="352"/>
      <c r="HI22" s="351">
        <v>0</v>
      </c>
      <c r="HJ22" s="367"/>
      <c r="HK22" s="352"/>
      <c r="HL22" s="351">
        <v>0</v>
      </c>
      <c r="HM22" s="367"/>
      <c r="HN22" s="352"/>
      <c r="HO22" s="351">
        <v>0</v>
      </c>
      <c r="HP22" s="367"/>
      <c r="HQ22" s="352"/>
      <c r="HR22" s="351">
        <v>0</v>
      </c>
      <c r="HS22" s="367"/>
      <c r="HT22" s="352"/>
      <c r="HU22" s="351">
        <v>0</v>
      </c>
      <c r="HV22" s="367"/>
      <c r="HW22" s="352"/>
      <c r="HX22" s="351">
        <v>0</v>
      </c>
      <c r="HY22" s="367"/>
      <c r="HZ22" s="352"/>
      <c r="IA22" s="351">
        <v>0</v>
      </c>
      <c r="IB22" s="367"/>
      <c r="IC22" s="352"/>
      <c r="ID22" s="351">
        <v>0</v>
      </c>
      <c r="IE22" s="367"/>
      <c r="IF22" s="352"/>
      <c r="IG22" s="351">
        <v>0</v>
      </c>
      <c r="IH22" s="367"/>
      <c r="II22" s="352"/>
      <c r="IJ22" s="351">
        <v>0</v>
      </c>
      <c r="IK22" s="367"/>
      <c r="IL22" s="352"/>
      <c r="IM22" s="351">
        <v>0</v>
      </c>
      <c r="IN22" s="367"/>
      <c r="IO22" s="352"/>
      <c r="IP22" s="351">
        <v>0</v>
      </c>
      <c r="IQ22" s="367"/>
      <c r="IR22" s="352"/>
      <c r="IS22" s="351">
        <v>0</v>
      </c>
      <c r="IT22" s="367"/>
      <c r="IU22" s="352"/>
      <c r="IV22" s="351">
        <v>0</v>
      </c>
      <c r="IW22" s="367"/>
      <c r="IX22" s="352"/>
      <c r="IY22" s="351">
        <v>0</v>
      </c>
      <c r="IZ22" s="367"/>
      <c r="JA22" s="352"/>
      <c r="JB22" s="351">
        <v>0</v>
      </c>
    </row>
    <row r="23" spans="1:262" ht="14.5" hidden="1" customHeight="1" x14ac:dyDescent="0.35">
      <c r="A23" s="366"/>
      <c r="B23" s="368"/>
      <c r="C23" s="365"/>
      <c r="D23" s="364"/>
      <c r="E23" s="368"/>
      <c r="F23" s="365"/>
      <c r="G23" s="364"/>
      <c r="H23" s="368"/>
      <c r="I23" s="365"/>
      <c r="J23" s="364"/>
      <c r="K23" s="368"/>
      <c r="L23" s="365"/>
      <c r="M23" s="364"/>
      <c r="N23" s="368"/>
      <c r="O23" s="365"/>
      <c r="P23" s="364"/>
      <c r="Q23" s="369"/>
      <c r="R23" s="347"/>
      <c r="S23" s="361"/>
      <c r="T23" s="369"/>
      <c r="U23" s="347"/>
      <c r="V23" s="364"/>
      <c r="W23" s="369"/>
      <c r="X23" s="347"/>
      <c r="Y23" s="344"/>
      <c r="Z23" s="360"/>
      <c r="AA23" s="347"/>
      <c r="AB23" s="361"/>
      <c r="AC23" s="369"/>
      <c r="AD23" s="347"/>
      <c r="AE23" s="344"/>
      <c r="AF23" s="377"/>
      <c r="AH23" s="344"/>
      <c r="AI23" s="369"/>
      <c r="AJ23" s="347"/>
      <c r="AK23" s="344"/>
      <c r="AL23" s="377"/>
      <c r="AN23" s="344"/>
      <c r="AO23" s="377"/>
      <c r="AQ23" s="344"/>
      <c r="AR23" s="369"/>
      <c r="AS23" s="347"/>
      <c r="AT23" s="344"/>
      <c r="AU23" s="348"/>
      <c r="AV23" s="347"/>
      <c r="AW23" s="344"/>
      <c r="AX23" s="377"/>
      <c r="AZ23" s="344"/>
      <c r="BA23" s="377"/>
      <c r="BC23" s="344"/>
      <c r="BD23" s="369"/>
      <c r="BE23" s="347"/>
      <c r="BF23" s="344"/>
      <c r="BG23" s="369"/>
      <c r="BH23" s="347"/>
      <c r="BI23" s="344"/>
      <c r="BJ23" s="369"/>
      <c r="BK23" s="347"/>
      <c r="BL23" s="344"/>
      <c r="BM23" s="369"/>
      <c r="BN23" s="359"/>
      <c r="BO23" s="344"/>
      <c r="BP23" s="369"/>
      <c r="BQ23" s="340"/>
      <c r="BR23" s="344"/>
      <c r="BS23" s="369"/>
      <c r="BT23" s="340"/>
      <c r="BU23" s="344"/>
      <c r="BV23" s="360"/>
      <c r="BW23" s="340"/>
      <c r="BX23" s="375"/>
      <c r="BY23" s="369"/>
      <c r="BZ23" s="340"/>
      <c r="CA23" s="344"/>
      <c r="CB23" s="360"/>
      <c r="CC23" s="340"/>
      <c r="CD23" s="375"/>
      <c r="CE23" s="369"/>
      <c r="CF23" s="340"/>
      <c r="CG23" s="344"/>
      <c r="CH23" s="360"/>
      <c r="CI23" s="340"/>
      <c r="CJ23" s="344"/>
      <c r="CK23" s="369"/>
      <c r="CL23" s="340"/>
      <c r="CM23" s="344"/>
      <c r="CN23" s="380"/>
      <c r="CO23" s="340"/>
      <c r="CP23" s="375"/>
      <c r="CQ23" s="367"/>
      <c r="CR23" s="352"/>
      <c r="CS23" s="354"/>
      <c r="CT23" s="379"/>
      <c r="CU23" s="352"/>
      <c r="CV23" s="373"/>
      <c r="CW23" s="367"/>
      <c r="CX23" s="352"/>
      <c r="CY23" s="354"/>
      <c r="CZ23" s="379"/>
      <c r="DA23" s="352"/>
      <c r="DB23" s="354"/>
      <c r="DC23" s="367"/>
      <c r="DD23" s="352"/>
      <c r="DE23" s="354"/>
      <c r="DF23" s="367"/>
      <c r="DG23" s="352"/>
      <c r="DH23" s="354"/>
      <c r="DI23" s="367"/>
      <c r="DJ23" s="352"/>
      <c r="DK23" s="351"/>
      <c r="DL23" s="367"/>
      <c r="DM23" s="352"/>
      <c r="DN23" s="351"/>
      <c r="DO23" s="367"/>
      <c r="DP23" s="352"/>
      <c r="DQ23" s="351"/>
      <c r="DR23" s="367"/>
      <c r="DS23" s="352"/>
      <c r="DT23" s="351"/>
      <c r="DU23" s="367"/>
      <c r="DV23" s="352"/>
      <c r="DW23" s="351"/>
      <c r="DX23" s="367"/>
      <c r="DY23" s="352"/>
      <c r="DZ23" s="351"/>
      <c r="EA23" s="367"/>
      <c r="EB23" s="352"/>
      <c r="EC23" s="351"/>
      <c r="ED23" s="367"/>
      <c r="EE23" s="352"/>
      <c r="EF23" s="351"/>
      <c r="EG23" s="367"/>
      <c r="EH23" s="352"/>
      <c r="EI23" s="351"/>
      <c r="EJ23" s="367"/>
      <c r="EK23" s="352"/>
      <c r="EL23" s="351"/>
      <c r="EM23" s="367"/>
      <c r="EN23" s="352"/>
      <c r="EO23" s="351"/>
      <c r="EP23" s="367"/>
      <c r="EQ23" s="352"/>
      <c r="ER23" s="351"/>
      <c r="ES23" s="367"/>
      <c r="ET23" s="352"/>
      <c r="EU23" s="351"/>
      <c r="EV23" s="367"/>
      <c r="EW23" s="352"/>
      <c r="EX23" s="351"/>
      <c r="EY23" s="367"/>
      <c r="EZ23" s="352"/>
      <c r="FA23" s="351"/>
      <c r="FB23" s="367"/>
      <c r="FC23" s="352"/>
      <c r="FD23" s="351"/>
      <c r="FE23" s="367"/>
      <c r="FF23" s="352"/>
      <c r="FG23" s="351"/>
      <c r="FH23" s="367"/>
      <c r="FI23" s="352"/>
      <c r="FJ23" s="351"/>
      <c r="FK23" s="367"/>
      <c r="FL23" s="352"/>
      <c r="FM23" s="351"/>
      <c r="FN23" s="367"/>
      <c r="FO23" s="352"/>
      <c r="FP23" s="351"/>
      <c r="FQ23" s="367"/>
      <c r="FR23" s="352"/>
      <c r="FS23" s="351"/>
      <c r="FT23" s="367"/>
      <c r="FU23" s="352"/>
      <c r="FV23" s="351"/>
      <c r="FW23" s="367"/>
      <c r="FX23" s="352"/>
      <c r="FY23" s="351"/>
      <c r="FZ23" s="367"/>
      <c r="GA23" s="352"/>
      <c r="GB23" s="351"/>
      <c r="GC23" s="367"/>
      <c r="GD23" s="352"/>
      <c r="GE23" s="351"/>
      <c r="GF23" s="367"/>
      <c r="GG23" s="352"/>
      <c r="GH23" s="351"/>
      <c r="GI23" s="367"/>
      <c r="GJ23" s="352"/>
      <c r="GK23" s="351"/>
      <c r="GL23" s="367"/>
      <c r="GM23" s="352"/>
      <c r="GN23" s="351"/>
      <c r="GO23" s="367"/>
      <c r="GP23" s="352"/>
      <c r="GQ23" s="351"/>
      <c r="GR23" s="367"/>
      <c r="GS23" s="352"/>
      <c r="GT23" s="351"/>
      <c r="GU23" s="367"/>
      <c r="GV23" s="352"/>
      <c r="GW23" s="351"/>
      <c r="GX23" s="367"/>
      <c r="GY23" s="352"/>
      <c r="GZ23" s="351"/>
      <c r="HA23" s="367"/>
      <c r="HB23" s="352"/>
      <c r="HC23" s="351"/>
      <c r="HD23" s="367"/>
      <c r="HE23" s="352"/>
      <c r="HF23" s="351"/>
      <c r="HG23" s="367"/>
      <c r="HH23" s="352"/>
      <c r="HI23" s="351"/>
      <c r="HJ23" s="367"/>
      <c r="HK23" s="352"/>
      <c r="HL23" s="351"/>
      <c r="HM23" s="367"/>
      <c r="HN23" s="352"/>
      <c r="HO23" s="351"/>
      <c r="HP23" s="367"/>
      <c r="HQ23" s="352"/>
      <c r="HR23" s="351"/>
      <c r="HS23" s="367"/>
      <c r="HT23" s="352"/>
      <c r="HU23" s="351"/>
      <c r="HV23" s="367"/>
      <c r="HW23" s="352"/>
      <c r="HX23" s="351"/>
      <c r="HY23" s="367"/>
      <c r="HZ23" s="352"/>
      <c r="IA23" s="351"/>
      <c r="IB23" s="367"/>
      <c r="IC23" s="352"/>
      <c r="ID23" s="351"/>
      <c r="IE23" s="367"/>
      <c r="IF23" s="352"/>
      <c r="IG23" s="351"/>
      <c r="IH23" s="367"/>
      <c r="II23" s="352"/>
      <c r="IJ23" s="351"/>
      <c r="IK23" s="367"/>
      <c r="IL23" s="352"/>
      <c r="IM23" s="351"/>
      <c r="IN23" s="367"/>
      <c r="IO23" s="352"/>
      <c r="IP23" s="351"/>
      <c r="IQ23" s="367"/>
      <c r="IR23" s="352"/>
      <c r="IS23" s="351"/>
      <c r="IT23" s="367"/>
      <c r="IU23" s="352"/>
      <c r="IV23" s="351"/>
      <c r="IW23" s="367"/>
      <c r="IX23" s="352"/>
      <c r="IY23" s="351"/>
      <c r="IZ23" s="367"/>
      <c r="JA23" s="352"/>
      <c r="JB23" s="351"/>
    </row>
    <row r="24" spans="1:262" ht="14.5" hidden="1" customHeight="1" x14ac:dyDescent="0.35">
      <c r="A24" s="366" t="s">
        <v>483</v>
      </c>
      <c r="B24" s="368">
        <v>21.6</v>
      </c>
      <c r="C24" s="365">
        <v>13.8</v>
      </c>
      <c r="D24" s="364">
        <v>0.18543651486851476</v>
      </c>
      <c r="E24" s="368">
        <v>17.399999999999999</v>
      </c>
      <c r="F24" s="365">
        <v>10.9</v>
      </c>
      <c r="G24" s="364">
        <v>0.12407654042732416</v>
      </c>
      <c r="H24" s="368">
        <v>13.3</v>
      </c>
      <c r="I24" s="365">
        <v>8.3000000000000007</v>
      </c>
      <c r="J24" s="364">
        <v>9.3778952839355542E-2</v>
      </c>
      <c r="K24" s="368">
        <v>10.1</v>
      </c>
      <c r="L24" s="365">
        <v>6.5</v>
      </c>
      <c r="M24" s="364">
        <v>6.6956467994808311E-2</v>
      </c>
      <c r="N24" s="368">
        <v>8</v>
      </c>
      <c r="O24" s="365">
        <v>4.8</v>
      </c>
      <c r="P24" s="364">
        <v>5.3573820259833024E-2</v>
      </c>
      <c r="Q24" s="369">
        <v>7300</v>
      </c>
      <c r="R24" s="347">
        <v>5890</v>
      </c>
      <c r="S24" s="361">
        <v>6.4774346631393059E-2</v>
      </c>
      <c r="T24" s="369">
        <v>3806</v>
      </c>
      <c r="U24" s="347">
        <v>2521</v>
      </c>
      <c r="V24" s="364">
        <v>2.7085590465872153E-2</v>
      </c>
      <c r="W24" s="369">
        <v>1723</v>
      </c>
      <c r="X24" s="347">
        <v>1178</v>
      </c>
      <c r="Y24" s="344">
        <v>1.189155381010068E-2</v>
      </c>
      <c r="Z24" s="362" t="s">
        <v>368</v>
      </c>
      <c r="AA24" s="386" t="s">
        <v>368</v>
      </c>
      <c r="AB24" s="387" t="s">
        <v>368</v>
      </c>
      <c r="AC24" s="357" t="s">
        <v>368</v>
      </c>
      <c r="AD24" s="386" t="s">
        <v>368</v>
      </c>
      <c r="AE24" s="385" t="s">
        <v>368</v>
      </c>
      <c r="AF24" s="357" t="s">
        <v>368</v>
      </c>
      <c r="AG24" s="362" t="s">
        <v>368</v>
      </c>
      <c r="AH24" s="385" t="s">
        <v>368</v>
      </c>
      <c r="AI24" s="357" t="s">
        <v>368</v>
      </c>
      <c r="AJ24" s="386" t="s">
        <v>368</v>
      </c>
      <c r="AK24" s="385" t="s">
        <v>368</v>
      </c>
      <c r="AL24" s="357" t="s">
        <v>368</v>
      </c>
      <c r="AM24" s="386" t="s">
        <v>368</v>
      </c>
      <c r="AN24" s="385" t="s">
        <v>368</v>
      </c>
      <c r="AO24" s="357" t="s">
        <v>368</v>
      </c>
      <c r="AP24" s="362" t="s">
        <v>368</v>
      </c>
      <c r="AQ24" s="385" t="s">
        <v>368</v>
      </c>
      <c r="AR24" s="357" t="s">
        <v>368</v>
      </c>
      <c r="AS24" s="362" t="s">
        <v>368</v>
      </c>
      <c r="AT24" s="385" t="s">
        <v>368</v>
      </c>
      <c r="AU24" s="357" t="s">
        <v>368</v>
      </c>
      <c r="AV24" s="362" t="s">
        <v>368</v>
      </c>
      <c r="AW24" s="385" t="s">
        <v>368</v>
      </c>
      <c r="AX24" s="357" t="s">
        <v>368</v>
      </c>
      <c r="AY24" s="386" t="s">
        <v>368</v>
      </c>
      <c r="AZ24" s="385" t="s">
        <v>368</v>
      </c>
      <c r="BA24" s="357" t="s">
        <v>368</v>
      </c>
      <c r="BB24" s="386" t="s">
        <v>368</v>
      </c>
      <c r="BC24" s="385" t="s">
        <v>368</v>
      </c>
      <c r="BD24" s="357" t="s">
        <v>368</v>
      </c>
      <c r="BE24" s="362" t="s">
        <v>368</v>
      </c>
      <c r="BF24" s="385" t="s">
        <v>368</v>
      </c>
      <c r="BG24" s="357" t="s">
        <v>368</v>
      </c>
      <c r="BH24" s="362" t="s">
        <v>368</v>
      </c>
      <c r="BI24" s="385" t="s">
        <v>368</v>
      </c>
      <c r="BJ24" s="357" t="s">
        <v>368</v>
      </c>
      <c r="BK24" s="362" t="s">
        <v>368</v>
      </c>
      <c r="BL24" s="385" t="s">
        <v>368</v>
      </c>
      <c r="BM24" s="357" t="s">
        <v>368</v>
      </c>
      <c r="BN24" s="359" t="s">
        <v>368</v>
      </c>
      <c r="BO24" s="344" t="s">
        <v>368</v>
      </c>
      <c r="BP24" s="357" t="s">
        <v>368</v>
      </c>
      <c r="BQ24" s="340" t="s">
        <v>368</v>
      </c>
      <c r="BR24" s="344" t="s">
        <v>368</v>
      </c>
      <c r="BS24" s="357" t="s">
        <v>368</v>
      </c>
      <c r="BT24" s="340" t="s">
        <v>368</v>
      </c>
      <c r="BU24" s="383" t="s">
        <v>368</v>
      </c>
      <c r="BV24" s="358" t="s">
        <v>368</v>
      </c>
      <c r="BW24" s="340" t="s">
        <v>368</v>
      </c>
      <c r="BX24" s="358" t="s">
        <v>368</v>
      </c>
      <c r="BY24" s="357" t="s">
        <v>368</v>
      </c>
      <c r="BZ24" s="340" t="s">
        <v>368</v>
      </c>
      <c r="CA24" s="383" t="s">
        <v>368</v>
      </c>
      <c r="CB24" s="358" t="s">
        <v>368</v>
      </c>
      <c r="CC24" s="340" t="s">
        <v>368</v>
      </c>
      <c r="CD24" s="358" t="s">
        <v>368</v>
      </c>
      <c r="CE24" s="357" t="s">
        <v>368</v>
      </c>
      <c r="CF24" s="340" t="s">
        <v>368</v>
      </c>
      <c r="CG24" s="383" t="s">
        <v>368</v>
      </c>
      <c r="CH24" s="358" t="s">
        <v>368</v>
      </c>
      <c r="CI24" s="340" t="s">
        <v>368</v>
      </c>
      <c r="CJ24" s="357" t="s">
        <v>368</v>
      </c>
      <c r="CK24" s="357" t="s">
        <v>368</v>
      </c>
      <c r="CL24" s="340" t="s">
        <v>368</v>
      </c>
      <c r="CM24" s="383" t="s">
        <v>368</v>
      </c>
      <c r="CN24" s="358" t="s">
        <v>368</v>
      </c>
      <c r="CO24" s="340" t="s">
        <v>368</v>
      </c>
      <c r="CP24" s="358" t="s">
        <v>368</v>
      </c>
      <c r="CQ24" s="382" t="s">
        <v>368</v>
      </c>
      <c r="CR24" s="352" t="s">
        <v>368</v>
      </c>
      <c r="CS24" s="383" t="s">
        <v>368</v>
      </c>
      <c r="CT24" s="384" t="s">
        <v>368</v>
      </c>
      <c r="CU24" s="352" t="s">
        <v>368</v>
      </c>
      <c r="CV24" s="358" t="s">
        <v>368</v>
      </c>
      <c r="CW24" s="382" t="s">
        <v>368</v>
      </c>
      <c r="CX24" s="352" t="s">
        <v>368</v>
      </c>
      <c r="CY24" s="383" t="s">
        <v>368</v>
      </c>
      <c r="CZ24" s="384" t="s">
        <v>368</v>
      </c>
      <c r="DA24" s="352" t="s">
        <v>368</v>
      </c>
      <c r="DB24" s="383" t="s">
        <v>368</v>
      </c>
      <c r="DC24" s="382" t="s">
        <v>368</v>
      </c>
      <c r="DD24" s="352" t="s">
        <v>368</v>
      </c>
      <c r="DE24" s="383" t="s">
        <v>368</v>
      </c>
      <c r="DF24" s="382" t="s">
        <v>368</v>
      </c>
      <c r="DG24" s="352" t="s">
        <v>368</v>
      </c>
      <c r="DH24" s="383" t="s">
        <v>368</v>
      </c>
      <c r="DI24" s="382"/>
      <c r="DJ24" s="352"/>
      <c r="DK24" s="381" t="s">
        <v>368</v>
      </c>
      <c r="DL24" s="382"/>
      <c r="DM24" s="352"/>
      <c r="DN24" s="381" t="s">
        <v>368</v>
      </c>
      <c r="DO24" s="382"/>
      <c r="DP24" s="352"/>
      <c r="DQ24" s="381" t="s">
        <v>368</v>
      </c>
      <c r="DR24" s="382"/>
      <c r="DS24" s="352"/>
      <c r="DT24" s="381" t="s">
        <v>368</v>
      </c>
      <c r="DU24" s="382"/>
      <c r="DV24" s="352"/>
      <c r="DW24" s="381" t="s">
        <v>368</v>
      </c>
      <c r="DX24" s="382"/>
      <c r="DY24" s="352"/>
      <c r="DZ24" s="381" t="s">
        <v>368</v>
      </c>
      <c r="EA24" s="382"/>
      <c r="EB24" s="352"/>
      <c r="EC24" s="381" t="s">
        <v>368</v>
      </c>
      <c r="ED24" s="382"/>
      <c r="EE24" s="352"/>
      <c r="EF24" s="381" t="s">
        <v>368</v>
      </c>
      <c r="EG24" s="382"/>
      <c r="EH24" s="352"/>
      <c r="EI24" s="381" t="s">
        <v>368</v>
      </c>
      <c r="EJ24" s="382"/>
      <c r="EK24" s="352"/>
      <c r="EL24" s="381" t="s">
        <v>368</v>
      </c>
      <c r="EM24" s="382"/>
      <c r="EN24" s="352"/>
      <c r="EO24" s="381" t="s">
        <v>368</v>
      </c>
      <c r="EP24" s="382"/>
      <c r="EQ24" s="352"/>
      <c r="ER24" s="381" t="s">
        <v>368</v>
      </c>
      <c r="ES24" s="382"/>
      <c r="ET24" s="352"/>
      <c r="EU24" s="381" t="s">
        <v>368</v>
      </c>
      <c r="EV24" s="382"/>
      <c r="EW24" s="352"/>
      <c r="EX24" s="381" t="s">
        <v>368</v>
      </c>
      <c r="EY24" s="382"/>
      <c r="EZ24" s="352"/>
      <c r="FA24" s="381" t="s">
        <v>368</v>
      </c>
      <c r="FB24" s="382"/>
      <c r="FC24" s="352"/>
      <c r="FD24" s="381" t="s">
        <v>368</v>
      </c>
      <c r="FE24" s="382"/>
      <c r="FF24" s="352"/>
      <c r="FG24" s="381" t="s">
        <v>368</v>
      </c>
      <c r="FH24" s="382"/>
      <c r="FI24" s="352"/>
      <c r="FJ24" s="381" t="s">
        <v>368</v>
      </c>
      <c r="FK24" s="382"/>
      <c r="FL24" s="352"/>
      <c r="FM24" s="381" t="s">
        <v>368</v>
      </c>
      <c r="FN24" s="382"/>
      <c r="FO24" s="352"/>
      <c r="FP24" s="381" t="s">
        <v>368</v>
      </c>
      <c r="FQ24" s="382"/>
      <c r="FR24" s="352"/>
      <c r="FS24" s="381" t="s">
        <v>368</v>
      </c>
      <c r="FT24" s="382"/>
      <c r="FU24" s="352"/>
      <c r="FV24" s="381" t="s">
        <v>368</v>
      </c>
      <c r="FW24" s="382"/>
      <c r="FX24" s="352"/>
      <c r="FY24" s="381" t="s">
        <v>368</v>
      </c>
      <c r="FZ24" s="382"/>
      <c r="GA24" s="352"/>
      <c r="GB24" s="381" t="s">
        <v>368</v>
      </c>
      <c r="GC24" s="382"/>
      <c r="GD24" s="352"/>
      <c r="GE24" s="381" t="s">
        <v>368</v>
      </c>
      <c r="GF24" s="382"/>
      <c r="GG24" s="352"/>
      <c r="GH24" s="381" t="s">
        <v>368</v>
      </c>
      <c r="GI24" s="382"/>
      <c r="GJ24" s="352"/>
      <c r="GK24" s="381" t="s">
        <v>368</v>
      </c>
      <c r="GL24" s="382"/>
      <c r="GM24" s="352"/>
      <c r="GN24" s="381" t="s">
        <v>368</v>
      </c>
      <c r="GO24" s="382"/>
      <c r="GP24" s="352"/>
      <c r="GQ24" s="381" t="s">
        <v>368</v>
      </c>
      <c r="GR24" s="382"/>
      <c r="GS24" s="352"/>
      <c r="GT24" s="381" t="s">
        <v>368</v>
      </c>
      <c r="GU24" s="382"/>
      <c r="GV24" s="352"/>
      <c r="GW24" s="381" t="s">
        <v>368</v>
      </c>
      <c r="GX24" s="382"/>
      <c r="GY24" s="352"/>
      <c r="GZ24" s="381" t="s">
        <v>368</v>
      </c>
      <c r="HA24" s="382"/>
      <c r="HB24" s="352"/>
      <c r="HC24" s="381" t="s">
        <v>368</v>
      </c>
      <c r="HD24" s="382"/>
      <c r="HE24" s="352"/>
      <c r="HF24" s="381" t="s">
        <v>368</v>
      </c>
      <c r="HG24" s="382"/>
      <c r="HH24" s="352"/>
      <c r="HI24" s="381" t="s">
        <v>368</v>
      </c>
      <c r="HJ24" s="382"/>
      <c r="HK24" s="352"/>
      <c r="HL24" s="381" t="s">
        <v>368</v>
      </c>
      <c r="HM24" s="382"/>
      <c r="HN24" s="352"/>
      <c r="HO24" s="381" t="s">
        <v>368</v>
      </c>
      <c r="HP24" s="382"/>
      <c r="HQ24" s="352"/>
      <c r="HR24" s="381" t="s">
        <v>368</v>
      </c>
      <c r="HS24" s="382"/>
      <c r="HT24" s="352"/>
      <c r="HU24" s="381" t="s">
        <v>368</v>
      </c>
      <c r="HV24" s="382"/>
      <c r="HW24" s="352"/>
      <c r="HX24" s="381" t="s">
        <v>368</v>
      </c>
      <c r="HY24" s="382"/>
      <c r="HZ24" s="352"/>
      <c r="IA24" s="381" t="s">
        <v>368</v>
      </c>
      <c r="IB24" s="382"/>
      <c r="IC24" s="352"/>
      <c r="ID24" s="381" t="s">
        <v>368</v>
      </c>
      <c r="IE24" s="382"/>
      <c r="IF24" s="352"/>
      <c r="IG24" s="381" t="s">
        <v>368</v>
      </c>
      <c r="IH24" s="382"/>
      <c r="II24" s="352"/>
      <c r="IJ24" s="381" t="s">
        <v>368</v>
      </c>
      <c r="IK24" s="382"/>
      <c r="IL24" s="352"/>
      <c r="IM24" s="381" t="s">
        <v>368</v>
      </c>
      <c r="IN24" s="382"/>
      <c r="IO24" s="352"/>
      <c r="IP24" s="381" t="s">
        <v>368</v>
      </c>
      <c r="IQ24" s="382"/>
      <c r="IR24" s="352"/>
      <c r="IS24" s="381" t="s">
        <v>368</v>
      </c>
      <c r="IT24" s="382"/>
      <c r="IU24" s="352"/>
      <c r="IV24" s="381" t="s">
        <v>368</v>
      </c>
      <c r="IW24" s="382"/>
      <c r="IX24" s="352"/>
      <c r="IY24" s="381" t="s">
        <v>368</v>
      </c>
      <c r="IZ24" s="382"/>
      <c r="JA24" s="352"/>
      <c r="JB24" s="381" t="s">
        <v>368</v>
      </c>
    </row>
    <row r="25" spans="1:262" ht="14.5" hidden="1" customHeight="1" x14ac:dyDescent="0.35">
      <c r="A25" s="366"/>
      <c r="B25" s="368"/>
      <c r="C25" s="365"/>
      <c r="D25" s="364"/>
      <c r="E25" s="368"/>
      <c r="F25" s="365"/>
      <c r="G25" s="364"/>
      <c r="H25" s="368"/>
      <c r="I25" s="365"/>
      <c r="J25" s="364"/>
      <c r="K25" s="368"/>
      <c r="L25" s="365"/>
      <c r="M25" s="364"/>
      <c r="N25" s="368"/>
      <c r="O25" s="365"/>
      <c r="P25" s="364"/>
      <c r="Q25" s="369"/>
      <c r="R25" s="347"/>
      <c r="S25" s="361"/>
      <c r="T25" s="369"/>
      <c r="U25" s="347"/>
      <c r="V25" s="364"/>
      <c r="W25" s="369"/>
      <c r="X25" s="347"/>
      <c r="Y25" s="344"/>
      <c r="Z25" s="360"/>
      <c r="AA25" s="347"/>
      <c r="AB25" s="361"/>
      <c r="AC25" s="369"/>
      <c r="AD25" s="347"/>
      <c r="AE25" s="344"/>
      <c r="AF25" s="377"/>
      <c r="AH25" s="344"/>
      <c r="AI25" s="369"/>
      <c r="AJ25" s="347"/>
      <c r="AK25" s="344"/>
      <c r="AL25" s="377"/>
      <c r="AN25" s="344"/>
      <c r="AO25" s="377"/>
      <c r="AQ25" s="344"/>
      <c r="AR25" s="369"/>
      <c r="AS25" s="347"/>
      <c r="AT25" s="344"/>
      <c r="AU25" s="348"/>
      <c r="AV25" s="347"/>
      <c r="AW25" s="344"/>
      <c r="AX25" s="377"/>
      <c r="AZ25" s="344"/>
      <c r="BA25" s="377"/>
      <c r="BC25" s="344"/>
      <c r="BD25" s="369"/>
      <c r="BE25" s="347"/>
      <c r="BF25" s="344"/>
      <c r="BG25" s="369"/>
      <c r="BH25" s="347"/>
      <c r="BI25" s="344"/>
      <c r="BJ25" s="369"/>
      <c r="BK25" s="347"/>
      <c r="BL25" s="344"/>
      <c r="BM25" s="369"/>
      <c r="BN25" s="359"/>
      <c r="BO25" s="344"/>
      <c r="BP25" s="369"/>
      <c r="BQ25" s="340"/>
      <c r="BR25" s="344"/>
      <c r="BS25" s="369"/>
      <c r="BT25" s="340"/>
      <c r="BU25" s="344"/>
      <c r="BV25" s="360"/>
      <c r="BW25" s="340"/>
      <c r="BX25" s="375"/>
      <c r="BY25" s="369"/>
      <c r="BZ25" s="340"/>
      <c r="CA25" s="344"/>
      <c r="CB25" s="360"/>
      <c r="CC25" s="340"/>
      <c r="CD25" s="375"/>
      <c r="CE25" s="369"/>
      <c r="CF25" s="340"/>
      <c r="CG25" s="344"/>
      <c r="CH25" s="360"/>
      <c r="CI25" s="340"/>
      <c r="CJ25" s="344"/>
      <c r="CK25" s="369"/>
      <c r="CL25" s="340"/>
      <c r="CM25" s="344"/>
      <c r="CN25" s="380"/>
      <c r="CO25" s="340"/>
      <c r="CP25" s="375"/>
      <c r="CQ25" s="367"/>
      <c r="CR25" s="352"/>
      <c r="CS25" s="354"/>
      <c r="CT25" s="379"/>
      <c r="CU25" s="352"/>
      <c r="CV25" s="373"/>
      <c r="CW25" s="367"/>
      <c r="CX25" s="352"/>
      <c r="CY25" s="373"/>
      <c r="CZ25" s="367"/>
      <c r="DA25" s="352"/>
      <c r="DB25" s="354"/>
      <c r="DC25" s="367"/>
      <c r="DD25" s="352"/>
      <c r="DE25" s="354"/>
      <c r="DF25" s="367"/>
      <c r="DG25" s="352"/>
      <c r="DH25" s="354"/>
      <c r="DI25" s="367"/>
      <c r="DJ25" s="352"/>
      <c r="DK25" s="351"/>
      <c r="DL25" s="367"/>
      <c r="DM25" s="352"/>
      <c r="DN25" s="351"/>
      <c r="DO25" s="367"/>
      <c r="DP25" s="352"/>
      <c r="DQ25" s="351"/>
      <c r="DR25" s="367"/>
      <c r="DS25" s="352"/>
      <c r="DT25" s="351"/>
      <c r="DU25" s="367"/>
      <c r="DV25" s="352"/>
      <c r="DW25" s="351"/>
      <c r="DX25" s="367"/>
      <c r="DY25" s="352"/>
      <c r="DZ25" s="351"/>
      <c r="EA25" s="367"/>
      <c r="EB25" s="352"/>
      <c r="EC25" s="351"/>
      <c r="ED25" s="367"/>
      <c r="EE25" s="352"/>
      <c r="EF25" s="351"/>
      <c r="EG25" s="367"/>
      <c r="EH25" s="352"/>
      <c r="EI25" s="351"/>
      <c r="EJ25" s="367"/>
      <c r="EK25" s="352"/>
      <c r="EL25" s="351"/>
      <c r="EM25" s="367"/>
      <c r="EN25" s="352"/>
      <c r="EO25" s="351"/>
      <c r="EP25" s="367"/>
      <c r="EQ25" s="352"/>
      <c r="ER25" s="351"/>
      <c r="ES25" s="367"/>
      <c r="ET25" s="352"/>
      <c r="EU25" s="351"/>
      <c r="EV25" s="367"/>
      <c r="EW25" s="352"/>
      <c r="EX25" s="351"/>
      <c r="EY25" s="367"/>
      <c r="EZ25" s="352"/>
      <c r="FA25" s="351"/>
      <c r="FB25" s="367"/>
      <c r="FC25" s="352"/>
      <c r="FD25" s="351"/>
      <c r="FE25" s="367"/>
      <c r="FF25" s="352"/>
      <c r="FG25" s="351"/>
      <c r="FH25" s="367"/>
      <c r="FI25" s="352"/>
      <c r="FJ25" s="351"/>
      <c r="FK25" s="367"/>
      <c r="FL25" s="352"/>
      <c r="FM25" s="351"/>
      <c r="FN25" s="367"/>
      <c r="FO25" s="352"/>
      <c r="FP25" s="351"/>
      <c r="FQ25" s="367"/>
      <c r="FR25" s="352"/>
      <c r="FS25" s="351"/>
      <c r="FT25" s="367"/>
      <c r="FU25" s="352"/>
      <c r="FV25" s="351"/>
      <c r="FW25" s="367"/>
      <c r="FX25" s="352"/>
      <c r="FY25" s="351"/>
      <c r="FZ25" s="367"/>
      <c r="GA25" s="352"/>
      <c r="GB25" s="351"/>
      <c r="GC25" s="367"/>
      <c r="GD25" s="352"/>
      <c r="GE25" s="351"/>
      <c r="GF25" s="367"/>
      <c r="GG25" s="352"/>
      <c r="GH25" s="351"/>
      <c r="GI25" s="367"/>
      <c r="GJ25" s="352"/>
      <c r="GK25" s="351"/>
      <c r="GL25" s="367"/>
      <c r="GM25" s="352"/>
      <c r="GN25" s="351"/>
      <c r="GO25" s="367"/>
      <c r="GP25" s="352"/>
      <c r="GQ25" s="351"/>
      <c r="GR25" s="367"/>
      <c r="GS25" s="352"/>
      <c r="GT25" s="351"/>
      <c r="GU25" s="367"/>
      <c r="GV25" s="352"/>
      <c r="GW25" s="351"/>
      <c r="GX25" s="367"/>
      <c r="GY25" s="352"/>
      <c r="GZ25" s="351"/>
      <c r="HA25" s="367"/>
      <c r="HB25" s="352"/>
      <c r="HC25" s="351"/>
      <c r="HD25" s="367"/>
      <c r="HE25" s="352"/>
      <c r="HF25" s="351"/>
      <c r="HG25" s="367"/>
      <c r="HH25" s="352"/>
      <c r="HI25" s="351"/>
      <c r="HJ25" s="367"/>
      <c r="HK25" s="352"/>
      <c r="HL25" s="351"/>
      <c r="HM25" s="367"/>
      <c r="HN25" s="352"/>
      <c r="HO25" s="351"/>
      <c r="HP25" s="367"/>
      <c r="HQ25" s="352"/>
      <c r="HR25" s="351"/>
      <c r="HS25" s="367"/>
      <c r="HT25" s="352"/>
      <c r="HU25" s="351"/>
      <c r="HV25" s="367"/>
      <c r="HW25" s="352"/>
      <c r="HX25" s="351"/>
      <c r="HY25" s="367"/>
      <c r="HZ25" s="352"/>
      <c r="IA25" s="351"/>
      <c r="IB25" s="367"/>
      <c r="IC25" s="352"/>
      <c r="ID25" s="351"/>
      <c r="IE25" s="367"/>
      <c r="IF25" s="352"/>
      <c r="IG25" s="351"/>
      <c r="IH25" s="367"/>
      <c r="II25" s="352"/>
      <c r="IJ25" s="351"/>
      <c r="IK25" s="367"/>
      <c r="IL25" s="352"/>
      <c r="IM25" s="351"/>
      <c r="IN25" s="367"/>
      <c r="IO25" s="352"/>
      <c r="IP25" s="351"/>
      <c r="IQ25" s="367"/>
      <c r="IR25" s="352"/>
      <c r="IS25" s="351"/>
      <c r="IT25" s="367"/>
      <c r="IU25" s="352"/>
      <c r="IV25" s="351"/>
      <c r="IW25" s="367"/>
      <c r="IX25" s="352"/>
      <c r="IY25" s="351"/>
      <c r="IZ25" s="367"/>
      <c r="JA25" s="352"/>
      <c r="JB25" s="351"/>
    </row>
    <row r="26" spans="1:262" x14ac:dyDescent="0.35">
      <c r="A26" s="366" t="s">
        <v>482</v>
      </c>
      <c r="B26" s="368">
        <v>78.400000000000006</v>
      </c>
      <c r="C26" s="365">
        <v>287.10000000000002</v>
      </c>
      <c r="D26" s="364">
        <v>3.8578857549819268</v>
      </c>
      <c r="E26" s="368">
        <v>76.099999999999994</v>
      </c>
      <c r="F26" s="365">
        <v>280</v>
      </c>
      <c r="G26" s="364">
        <v>3.1872872770321803</v>
      </c>
      <c r="H26" s="368">
        <v>71.2</v>
      </c>
      <c r="I26" s="365">
        <v>253.2</v>
      </c>
      <c r="J26" s="364">
        <v>2.8608229950511834</v>
      </c>
      <c r="K26" s="368">
        <v>66.900000000000006</v>
      </c>
      <c r="L26" s="365">
        <v>238.2</v>
      </c>
      <c r="M26" s="364">
        <v>2.4536970271328213</v>
      </c>
      <c r="N26" s="368">
        <v>59.8</v>
      </c>
      <c r="O26" s="365">
        <v>212.6</v>
      </c>
      <c r="P26" s="364">
        <v>2.3728737890084379</v>
      </c>
      <c r="Q26" s="369">
        <v>56742</v>
      </c>
      <c r="R26" s="347">
        <v>195192</v>
      </c>
      <c r="S26" s="361">
        <v>2.1465932542741721</v>
      </c>
      <c r="T26" s="369">
        <v>50603</v>
      </c>
      <c r="U26" s="347">
        <v>174075</v>
      </c>
      <c r="V26" s="364">
        <v>1.8702594844691376</v>
      </c>
      <c r="W26" s="369">
        <v>68618</v>
      </c>
      <c r="X26" s="347">
        <v>246578</v>
      </c>
      <c r="Y26" s="344">
        <v>2.4891303526205482</v>
      </c>
      <c r="Z26" s="360">
        <v>64880</v>
      </c>
      <c r="AA26" s="347">
        <v>249789</v>
      </c>
      <c r="AB26" s="361">
        <v>2.6353504041505746</v>
      </c>
      <c r="AC26" s="369">
        <v>82580.3</v>
      </c>
      <c r="AD26" s="347">
        <v>322946.8</v>
      </c>
      <c r="AE26" s="344">
        <v>3.4892487862687158</v>
      </c>
      <c r="AF26" s="369">
        <v>76062</v>
      </c>
      <c r="AG26" s="370">
        <v>317797</v>
      </c>
      <c r="AH26" s="344">
        <v>3.2588580511625156</v>
      </c>
      <c r="AI26" s="369">
        <v>74872</v>
      </c>
      <c r="AJ26" s="347">
        <v>314731.90000000002</v>
      </c>
      <c r="AK26" s="344">
        <v>2.2153592882275155</v>
      </c>
      <c r="AL26" s="369">
        <v>73414</v>
      </c>
      <c r="AM26" s="370">
        <v>308605</v>
      </c>
      <c r="AN26" s="344">
        <v>10.164589801386468</v>
      </c>
      <c r="AO26" s="369">
        <v>74998</v>
      </c>
      <c r="AP26" s="370">
        <v>286933</v>
      </c>
      <c r="AQ26" s="344">
        <v>2.0463783376147333</v>
      </c>
      <c r="AR26" s="369">
        <v>71134.5</v>
      </c>
      <c r="AS26" s="347">
        <v>282403.96799999999</v>
      </c>
      <c r="AT26" s="344">
        <v>2.298081731035063</v>
      </c>
      <c r="AU26" s="348">
        <v>69149</v>
      </c>
      <c r="AV26" s="347">
        <v>277862</v>
      </c>
      <c r="AW26" s="344">
        <v>2.1126539962068911</v>
      </c>
      <c r="AX26" s="369">
        <v>67692</v>
      </c>
      <c r="AY26" s="370">
        <v>272005</v>
      </c>
      <c r="AZ26" s="344">
        <v>2.1314402104006258</v>
      </c>
      <c r="BA26" s="369">
        <v>65412</v>
      </c>
      <c r="BB26" s="370">
        <v>309397</v>
      </c>
      <c r="BC26" s="344">
        <v>2.2948838650669376</v>
      </c>
      <c r="BD26" s="369">
        <v>220000</v>
      </c>
      <c r="BE26" s="347">
        <v>1097300</v>
      </c>
      <c r="BF26" s="344">
        <v>7.7938751917394162</v>
      </c>
      <c r="BG26" s="369">
        <v>221100</v>
      </c>
      <c r="BH26" s="347">
        <v>1052200</v>
      </c>
      <c r="BI26" s="344">
        <v>10.164589801386468</v>
      </c>
      <c r="BJ26" s="369">
        <v>251400</v>
      </c>
      <c r="BK26" s="347">
        <v>1137300</v>
      </c>
      <c r="BL26" s="344">
        <v>5.1089656619827819</v>
      </c>
      <c r="BM26" s="369">
        <v>296300</v>
      </c>
      <c r="BN26" s="359">
        <v>1327.3</v>
      </c>
      <c r="BO26" s="344">
        <v>6.1399897304473736</v>
      </c>
      <c r="BP26" s="369">
        <v>309900</v>
      </c>
      <c r="BQ26" s="340">
        <v>1413.9</v>
      </c>
      <c r="BR26" s="344">
        <v>6.7275391833122384</v>
      </c>
      <c r="BS26" s="369">
        <v>356700</v>
      </c>
      <c r="BT26" s="340">
        <v>1698</v>
      </c>
      <c r="BU26" s="344">
        <v>7.9280221499040531</v>
      </c>
      <c r="BV26" s="360">
        <v>381000</v>
      </c>
      <c r="BW26" s="340">
        <v>1738.3</v>
      </c>
      <c r="BX26" s="375">
        <v>7.1468510767763309</v>
      </c>
      <c r="BY26" s="369">
        <v>394000</v>
      </c>
      <c r="BZ26" s="340">
        <v>1838.7</v>
      </c>
      <c r="CA26" s="344">
        <v>6.8629463602533622</v>
      </c>
      <c r="CB26" s="360">
        <v>427000</v>
      </c>
      <c r="CC26" s="340">
        <v>1876</v>
      </c>
      <c r="CD26" s="375">
        <v>6.3948731933460596</v>
      </c>
      <c r="CE26" s="369">
        <v>448000</v>
      </c>
      <c r="CF26" s="340">
        <v>2000</v>
      </c>
      <c r="CG26" s="375">
        <v>6.7213335125688927</v>
      </c>
      <c r="CH26" s="369">
        <v>475000</v>
      </c>
      <c r="CI26" s="340">
        <v>2159</v>
      </c>
      <c r="CJ26" s="344">
        <v>6.9792851970621701</v>
      </c>
      <c r="CK26" s="368">
        <v>506</v>
      </c>
      <c r="CL26" s="340">
        <v>2358</v>
      </c>
      <c r="CM26" s="344">
        <v>7.5212432060016834</v>
      </c>
      <c r="CN26" s="368">
        <v>547</v>
      </c>
      <c r="CO26" s="340">
        <v>2510</v>
      </c>
      <c r="CP26" s="375">
        <v>8.0181446460516224</v>
      </c>
      <c r="CQ26" s="367">
        <v>592</v>
      </c>
      <c r="CR26" s="352">
        <v>2915</v>
      </c>
      <c r="CS26" s="354">
        <v>8.5025084587562709</v>
      </c>
      <c r="CT26" s="379">
        <v>599</v>
      </c>
      <c r="CU26" s="352">
        <v>2930</v>
      </c>
      <c r="CV26" s="373">
        <v>8.30451788447367</v>
      </c>
      <c r="CW26" s="367">
        <v>599</v>
      </c>
      <c r="CX26" s="352">
        <v>2970</v>
      </c>
      <c r="CY26" s="373">
        <v>8.2621637410632314</v>
      </c>
      <c r="CZ26" s="367">
        <v>597</v>
      </c>
      <c r="DA26" s="352">
        <v>3570</v>
      </c>
      <c r="DB26" s="354">
        <v>9.555930297920181</v>
      </c>
      <c r="DC26" s="367">
        <v>738</v>
      </c>
      <c r="DD26" s="352">
        <v>4153</v>
      </c>
      <c r="DE26" s="354">
        <v>9.7648718551610632</v>
      </c>
      <c r="DF26" s="367">
        <v>838</v>
      </c>
      <c r="DG26" s="352">
        <v>4226</v>
      </c>
      <c r="DH26" s="354">
        <v>9.2608419345648976</v>
      </c>
      <c r="DI26" s="367">
        <v>973</v>
      </c>
      <c r="DJ26" s="352">
        <v>4903</v>
      </c>
      <c r="DK26" s="351">
        <v>10.396081591111487</v>
      </c>
      <c r="DL26" s="367">
        <v>952</v>
      </c>
      <c r="DM26" s="352">
        <v>4653</v>
      </c>
      <c r="DN26" s="351">
        <v>9.5418751538019855</v>
      </c>
      <c r="DO26" s="367">
        <v>952</v>
      </c>
      <c r="DP26" s="352">
        <v>4724</v>
      </c>
      <c r="DQ26" s="351">
        <v>9.1806592039800989</v>
      </c>
      <c r="DR26" s="367">
        <v>977</v>
      </c>
      <c r="DS26" s="352">
        <v>5040</v>
      </c>
      <c r="DT26" s="351">
        <v>9.8243698953236791</v>
      </c>
      <c r="DU26" s="367">
        <v>1069</v>
      </c>
      <c r="DV26" s="352">
        <v>5523</v>
      </c>
      <c r="DW26" s="351">
        <v>10.739077174356879</v>
      </c>
      <c r="DX26" s="367">
        <v>1064</v>
      </c>
      <c r="DY26" s="352">
        <v>6318</v>
      </c>
      <c r="DZ26" s="351">
        <v>11.281337047353761</v>
      </c>
      <c r="EA26" s="367">
        <v>1083</v>
      </c>
      <c r="EB26" s="352">
        <v>6205</v>
      </c>
      <c r="EC26" s="351">
        <v>11.341412147465775</v>
      </c>
      <c r="ED26" s="367">
        <v>1070</v>
      </c>
      <c r="EE26" s="352">
        <v>6043</v>
      </c>
      <c r="EF26" s="351">
        <v>11.077504032849392</v>
      </c>
      <c r="EG26" s="367">
        <v>1109</v>
      </c>
      <c r="EH26" s="352">
        <v>6195</v>
      </c>
      <c r="EI26" s="351">
        <v>11.330382617601872</v>
      </c>
      <c r="EJ26" s="367">
        <v>1085</v>
      </c>
      <c r="EK26" s="352">
        <v>6001</v>
      </c>
      <c r="EL26" s="351">
        <v>11.108026062490744</v>
      </c>
      <c r="EM26" s="367">
        <v>1122</v>
      </c>
      <c r="EN26" s="352">
        <v>6068</v>
      </c>
      <c r="EO26" s="351">
        <v>11.349693251533742</v>
      </c>
      <c r="EP26" s="367">
        <v>1114</v>
      </c>
      <c r="EQ26" s="352">
        <v>5978</v>
      </c>
      <c r="ER26" s="351">
        <v>11.257155769810185</v>
      </c>
      <c r="ES26" s="367">
        <v>1027</v>
      </c>
      <c r="ET26" s="352">
        <v>5381</v>
      </c>
      <c r="EU26" s="351">
        <v>10.420822278598679</v>
      </c>
      <c r="EV26" s="367">
        <v>1005</v>
      </c>
      <c r="EW26" s="352">
        <v>5206</v>
      </c>
      <c r="EX26" s="351">
        <v>11.292106804329437</v>
      </c>
      <c r="EY26" s="367">
        <v>1005</v>
      </c>
      <c r="EZ26" s="352">
        <v>5168</v>
      </c>
      <c r="FA26" s="351">
        <v>11.178622182902851</v>
      </c>
      <c r="FB26" s="367">
        <v>954</v>
      </c>
      <c r="FC26" s="352">
        <v>4911</v>
      </c>
      <c r="FD26" s="351">
        <v>10.909769475304735</v>
      </c>
      <c r="FE26" s="367">
        <v>954.4</v>
      </c>
      <c r="FF26" s="352">
        <v>4961.2</v>
      </c>
      <c r="FG26" s="351">
        <v>10.993691236203041</v>
      </c>
      <c r="FH26" s="367">
        <v>896</v>
      </c>
      <c r="FI26" s="352">
        <v>4800</v>
      </c>
      <c r="FJ26" s="351">
        <v>10.775862068965516</v>
      </c>
      <c r="FK26" s="367">
        <v>896</v>
      </c>
      <c r="FL26" s="352">
        <v>4733</v>
      </c>
      <c r="FM26" s="351">
        <v>10.626904277031473</v>
      </c>
      <c r="FN26" s="367">
        <v>835</v>
      </c>
      <c r="FO26" s="352">
        <v>4197</v>
      </c>
      <c r="FP26" s="351">
        <v>9.9742385642039615</v>
      </c>
      <c r="FQ26" s="367">
        <v>835</v>
      </c>
      <c r="FR26" s="352">
        <v>4204</v>
      </c>
      <c r="FS26" s="351">
        <v>10.151070824484751</v>
      </c>
      <c r="FT26" s="367">
        <v>776</v>
      </c>
      <c r="FU26" s="352">
        <v>4059</v>
      </c>
      <c r="FV26" s="351">
        <v>10.083094235570295</v>
      </c>
      <c r="FW26" s="367">
        <v>698</v>
      </c>
      <c r="FX26" s="352">
        <v>3635</v>
      </c>
      <c r="FY26" s="351">
        <v>9.0292612648417698</v>
      </c>
      <c r="FZ26" s="367">
        <v>647</v>
      </c>
      <c r="GA26" s="352">
        <v>3340</v>
      </c>
      <c r="GB26" s="351">
        <v>8.5197561411116496</v>
      </c>
      <c r="GC26" s="367">
        <v>647</v>
      </c>
      <c r="GD26" s="352">
        <v>3437</v>
      </c>
      <c r="GE26" s="351">
        <v>8.6811563088036579</v>
      </c>
      <c r="GF26" s="367">
        <v>591.79999999999995</v>
      </c>
      <c r="GG26" s="352">
        <v>3323.8</v>
      </c>
      <c r="GH26" s="351">
        <v>9.8857008592511502</v>
      </c>
      <c r="GI26" s="367">
        <v>742</v>
      </c>
      <c r="GJ26" s="352">
        <v>4267</v>
      </c>
      <c r="GK26" s="351">
        <v>9.766939356622613</v>
      </c>
      <c r="GL26" s="367">
        <v>691</v>
      </c>
      <c r="GM26" s="352">
        <v>4108</v>
      </c>
      <c r="GN26" s="351">
        <v>6.967884632998735</v>
      </c>
      <c r="GO26" s="367">
        <v>691</v>
      </c>
      <c r="GP26" s="352">
        <v>4221</v>
      </c>
      <c r="GQ26" s="351">
        <v>7.0600809375305769</v>
      </c>
      <c r="GR26" s="367">
        <v>640</v>
      </c>
      <c r="GS26" s="352">
        <v>3812</v>
      </c>
      <c r="GT26" s="351">
        <v>5.4385586963438097</v>
      </c>
      <c r="GU26" s="367">
        <v>640</v>
      </c>
      <c r="GV26" s="352">
        <v>4055</v>
      </c>
      <c r="GW26" s="351">
        <v>5.6366103051970802</v>
      </c>
      <c r="GX26" s="367">
        <v>557</v>
      </c>
      <c r="GY26" s="352">
        <v>3726</v>
      </c>
      <c r="GZ26" s="351">
        <v>4.7993693582292574</v>
      </c>
      <c r="HA26" s="367">
        <v>557</v>
      </c>
      <c r="HB26" s="352">
        <v>3846</v>
      </c>
      <c r="HC26" s="351">
        <v>4.9938420966865484</v>
      </c>
      <c r="HD26" s="367">
        <v>506</v>
      </c>
      <c r="HE26" s="352">
        <v>3587</v>
      </c>
      <c r="HF26" s="351">
        <v>4.7035066497513514</v>
      </c>
      <c r="HG26" s="367">
        <v>506</v>
      </c>
      <c r="HH26" s="352">
        <v>3460</v>
      </c>
      <c r="HI26" s="351">
        <v>4.728578242253537</v>
      </c>
      <c r="HJ26" s="367">
        <v>455</v>
      </c>
      <c r="HK26" s="352">
        <v>2909</v>
      </c>
      <c r="HL26" s="351">
        <v>4.3163119199353073</v>
      </c>
      <c r="HM26" s="367">
        <v>455</v>
      </c>
      <c r="HN26" s="352">
        <v>2905</v>
      </c>
      <c r="HO26" s="351">
        <v>3.5518592852387543</v>
      </c>
      <c r="HP26" s="367">
        <v>399</v>
      </c>
      <c r="HQ26" s="352">
        <v>2705</v>
      </c>
      <c r="HR26" s="351">
        <v>3.1511014293535875</v>
      </c>
      <c r="HS26" s="367">
        <v>399</v>
      </c>
      <c r="HT26" s="352">
        <v>2549</v>
      </c>
      <c r="HU26" s="351">
        <v>3.03908243317357</v>
      </c>
      <c r="HV26" s="367">
        <v>370</v>
      </c>
      <c r="HW26" s="352">
        <v>2287</v>
      </c>
      <c r="HX26" s="351">
        <v>2.8760801806384597</v>
      </c>
      <c r="HY26" s="367">
        <v>348</v>
      </c>
      <c r="HZ26" s="352">
        <v>2198</v>
      </c>
      <c r="IA26" s="351">
        <v>2.6183327367235458</v>
      </c>
      <c r="IB26" s="367">
        <v>314</v>
      </c>
      <c r="IC26" s="352">
        <v>2051</v>
      </c>
      <c r="ID26" s="351">
        <v>2.3974284044418468</v>
      </c>
      <c r="IE26" s="367">
        <v>314</v>
      </c>
      <c r="IF26" s="352">
        <v>2078</v>
      </c>
      <c r="IG26" s="351">
        <v>2.4315483451605111</v>
      </c>
      <c r="IH26" s="367">
        <v>285</v>
      </c>
      <c r="II26" s="352">
        <v>1893</v>
      </c>
      <c r="IJ26" s="351">
        <v>1.9511440940012368</v>
      </c>
      <c r="IK26" s="367">
        <v>285</v>
      </c>
      <c r="IL26" s="352">
        <v>1867</v>
      </c>
      <c r="IM26" s="351">
        <v>1.930049506235032</v>
      </c>
      <c r="IN26" s="367">
        <v>246</v>
      </c>
      <c r="IO26" s="352">
        <v>1569.63</v>
      </c>
      <c r="IP26" s="351">
        <v>1.6600997944586982</v>
      </c>
      <c r="IQ26" s="367">
        <v>246</v>
      </c>
      <c r="IR26" s="352">
        <v>1572.33</v>
      </c>
      <c r="IS26" s="351">
        <v>1.6188182512484008</v>
      </c>
      <c r="IT26" s="367">
        <v>217</v>
      </c>
      <c r="IU26" s="352">
        <v>1412</v>
      </c>
      <c r="IV26" s="351">
        <v>1.4557751590320951</v>
      </c>
      <c r="IW26" s="367">
        <v>217</v>
      </c>
      <c r="IX26" s="352">
        <v>1445</v>
      </c>
      <c r="IY26" s="351">
        <v>1.4621658268067108</v>
      </c>
      <c r="IZ26" s="367">
        <v>173</v>
      </c>
      <c r="JA26" s="352">
        <v>1184</v>
      </c>
      <c r="JB26" s="351">
        <v>1.1983684375664214</v>
      </c>
    </row>
    <row r="27" spans="1:262" hidden="1" x14ac:dyDescent="0.35">
      <c r="A27" s="366"/>
      <c r="B27" s="368"/>
      <c r="C27" s="365"/>
      <c r="D27" s="364"/>
      <c r="E27" s="368"/>
      <c r="F27" s="365"/>
      <c r="G27" s="364"/>
      <c r="H27" s="368"/>
      <c r="I27" s="365"/>
      <c r="J27" s="364"/>
      <c r="K27" s="368"/>
      <c r="L27" s="365"/>
      <c r="M27" s="364"/>
      <c r="N27" s="368"/>
      <c r="O27" s="365"/>
      <c r="P27" s="364"/>
      <c r="Q27" s="343"/>
      <c r="R27" s="346"/>
      <c r="S27" s="378"/>
      <c r="T27" s="369"/>
      <c r="U27" s="347"/>
      <c r="V27" s="364"/>
      <c r="W27" s="343"/>
      <c r="X27" s="346"/>
      <c r="Y27" s="342"/>
      <c r="Z27" s="360"/>
      <c r="AA27" s="347"/>
      <c r="AB27" s="378"/>
      <c r="AC27" s="343"/>
      <c r="AD27" s="346"/>
      <c r="AE27" s="342"/>
      <c r="AF27" s="377"/>
      <c r="AH27" s="342"/>
      <c r="AI27" s="343"/>
      <c r="AJ27" s="346"/>
      <c r="AK27" s="342"/>
      <c r="AL27" s="377"/>
      <c r="AN27" s="342"/>
      <c r="AO27" s="377"/>
      <c r="AQ27" s="342"/>
      <c r="AR27" s="343"/>
      <c r="AS27" s="346"/>
      <c r="AT27" s="342"/>
      <c r="AU27" s="348"/>
      <c r="AV27" s="347"/>
      <c r="AW27" s="342"/>
      <c r="AX27" s="377"/>
      <c r="AZ27" s="342"/>
      <c r="BA27" s="377"/>
      <c r="BC27" s="342"/>
      <c r="BD27" s="343"/>
      <c r="BE27" s="346"/>
      <c r="BF27" s="342"/>
      <c r="BG27" s="343"/>
      <c r="BH27" s="346"/>
      <c r="BI27" s="342"/>
      <c r="BJ27" s="343"/>
      <c r="BK27" s="346"/>
      <c r="BL27" s="342"/>
      <c r="BM27" s="343"/>
      <c r="BN27" s="359"/>
      <c r="BO27" s="344"/>
      <c r="BP27" s="343"/>
      <c r="BQ27" s="340"/>
      <c r="BR27" s="344"/>
      <c r="BS27" s="343"/>
      <c r="BT27" s="340"/>
      <c r="BU27" s="344"/>
      <c r="BV27" s="345"/>
      <c r="BW27" s="340"/>
      <c r="BX27" s="375"/>
      <c r="BY27" s="343"/>
      <c r="BZ27" s="340"/>
      <c r="CA27" s="375"/>
      <c r="CB27" s="343"/>
      <c r="CC27" s="340"/>
      <c r="CD27" s="375"/>
      <c r="CE27" s="343"/>
      <c r="CF27" s="340"/>
      <c r="CG27" s="344"/>
      <c r="CH27" s="343"/>
      <c r="CI27" s="340"/>
      <c r="CJ27" s="344"/>
      <c r="CK27" s="343"/>
      <c r="CL27" s="340"/>
      <c r="CM27" s="344"/>
      <c r="CN27" s="341"/>
      <c r="CO27" s="340"/>
      <c r="CP27" s="375"/>
      <c r="CQ27" s="376"/>
      <c r="CR27" s="352"/>
      <c r="CS27" s="354"/>
      <c r="CT27" s="135"/>
      <c r="CU27" s="352"/>
      <c r="CV27" s="373"/>
      <c r="CW27" s="376"/>
      <c r="CX27" s="352"/>
      <c r="CY27" s="373"/>
      <c r="CZ27" s="376"/>
      <c r="DA27" s="352"/>
      <c r="DB27" s="373"/>
      <c r="DC27" s="376"/>
      <c r="DD27" s="352"/>
      <c r="DE27" s="354"/>
      <c r="DF27" s="376"/>
      <c r="DG27" s="352"/>
      <c r="DH27" s="354"/>
      <c r="DI27" s="376"/>
      <c r="DJ27" s="352"/>
      <c r="DK27" s="351"/>
      <c r="DL27" s="376"/>
      <c r="DM27" s="352"/>
      <c r="DN27" s="351"/>
      <c r="DO27" s="376"/>
      <c r="DP27" s="352"/>
      <c r="DQ27" s="351"/>
      <c r="DR27" s="376"/>
      <c r="DS27" s="352"/>
      <c r="DT27" s="351"/>
      <c r="DU27" s="376"/>
      <c r="DV27" s="352"/>
      <c r="DW27" s="351"/>
      <c r="DX27" s="376"/>
      <c r="DY27" s="352"/>
      <c r="DZ27" s="351"/>
      <c r="EA27" s="376"/>
      <c r="EB27" s="352"/>
      <c r="EC27" s="351"/>
      <c r="ED27" s="376"/>
      <c r="EE27" s="352"/>
      <c r="EF27" s="351"/>
      <c r="EG27" s="376"/>
      <c r="EH27" s="352"/>
      <c r="EI27" s="351"/>
      <c r="EJ27" s="376"/>
      <c r="EK27" s="352"/>
      <c r="EL27" s="351"/>
      <c r="EM27" s="376"/>
      <c r="EN27" s="352"/>
      <c r="EO27" s="351"/>
      <c r="EP27" s="376"/>
      <c r="EQ27" s="352"/>
      <c r="ER27" s="351"/>
      <c r="ES27" s="376"/>
      <c r="ET27" s="352"/>
      <c r="EU27" s="351"/>
      <c r="EV27" s="376"/>
      <c r="EW27" s="352"/>
      <c r="EX27" s="351"/>
      <c r="EY27" s="376"/>
      <c r="EZ27" s="352"/>
      <c r="FA27" s="351"/>
      <c r="FB27" s="376"/>
      <c r="FC27" s="352"/>
      <c r="FD27" s="351"/>
      <c r="FE27" s="376"/>
      <c r="FF27" s="352"/>
      <c r="FG27" s="351"/>
      <c r="FH27" s="376"/>
      <c r="FI27" s="352"/>
      <c r="FJ27" s="351"/>
      <c r="FK27" s="376"/>
      <c r="FL27" s="352"/>
      <c r="FM27" s="351"/>
      <c r="FN27" s="376"/>
      <c r="FO27" s="352"/>
      <c r="FP27" s="351"/>
      <c r="FQ27" s="376"/>
      <c r="FR27" s="352"/>
      <c r="FS27" s="351"/>
      <c r="FT27" s="376"/>
      <c r="FU27" s="352"/>
      <c r="FV27" s="351"/>
      <c r="FW27" s="376"/>
      <c r="FX27" s="352"/>
      <c r="FY27" s="351"/>
      <c r="FZ27" s="376"/>
      <c r="GA27" s="352"/>
      <c r="GB27" s="351"/>
      <c r="GC27" s="376"/>
      <c r="GD27" s="352"/>
      <c r="GE27" s="351"/>
      <c r="GF27" s="376"/>
      <c r="GG27" s="352"/>
      <c r="GH27" s="351"/>
      <c r="GI27" s="376"/>
      <c r="GJ27" s="352"/>
      <c r="GK27" s="351"/>
      <c r="GL27" s="376"/>
      <c r="GM27" s="352"/>
      <c r="GN27" s="351"/>
      <c r="GO27" s="376"/>
      <c r="GP27" s="352"/>
      <c r="GQ27" s="351"/>
      <c r="GR27" s="376"/>
      <c r="GS27" s="352"/>
      <c r="GT27" s="351"/>
      <c r="GU27" s="376"/>
      <c r="GV27" s="352"/>
      <c r="GW27" s="351"/>
      <c r="GX27" s="376"/>
      <c r="GY27" s="352"/>
      <c r="GZ27" s="351"/>
      <c r="HA27" s="376"/>
      <c r="HB27" s="352"/>
      <c r="HC27" s="351"/>
      <c r="HD27" s="376"/>
      <c r="HE27" s="352"/>
      <c r="HF27" s="351"/>
      <c r="HG27" s="376"/>
      <c r="HH27" s="352"/>
      <c r="HI27" s="351"/>
      <c r="HJ27" s="376"/>
      <c r="HK27" s="352"/>
      <c r="HL27" s="351"/>
      <c r="HM27" s="376"/>
      <c r="HN27" s="352"/>
      <c r="HO27" s="351"/>
      <c r="HP27" s="376"/>
      <c r="HQ27" s="352"/>
      <c r="HR27" s="351"/>
      <c r="HS27" s="376"/>
      <c r="HT27" s="352"/>
      <c r="HU27" s="351"/>
      <c r="HV27" s="376"/>
      <c r="HW27" s="352"/>
      <c r="HX27" s="351"/>
      <c r="HY27" s="376"/>
      <c r="HZ27" s="352"/>
      <c r="IA27" s="351"/>
      <c r="IB27" s="376"/>
      <c r="IC27" s="352"/>
      <c r="ID27" s="351"/>
      <c r="IE27" s="376"/>
      <c r="IF27" s="352"/>
      <c r="IG27" s="351"/>
      <c r="IH27" s="376"/>
      <c r="II27" s="352"/>
      <c r="IJ27" s="351"/>
      <c r="IK27" s="376"/>
      <c r="IL27" s="352"/>
      <c r="IM27" s="351"/>
      <c r="IN27" s="376"/>
      <c r="IO27" s="352"/>
      <c r="IP27" s="351"/>
      <c r="IQ27" s="376"/>
      <c r="IR27" s="352"/>
      <c r="IS27" s="351"/>
      <c r="IT27" s="376"/>
      <c r="IU27" s="352"/>
      <c r="IV27" s="351"/>
      <c r="IW27" s="376"/>
      <c r="IX27" s="352"/>
      <c r="IY27" s="351"/>
      <c r="IZ27" s="376"/>
      <c r="JA27" s="352"/>
      <c r="JB27" s="351"/>
    </row>
    <row r="28" spans="1:262" ht="14.5" hidden="1" customHeight="1" x14ac:dyDescent="0.35">
      <c r="A28" s="366" t="s">
        <v>481</v>
      </c>
      <c r="B28" s="368">
        <v>4.0999999999999996</v>
      </c>
      <c r="C28" s="365">
        <v>74.8</v>
      </c>
      <c r="D28" s="364">
        <v>1.0051196603018044</v>
      </c>
      <c r="E28" s="368">
        <v>3.9</v>
      </c>
      <c r="F28" s="365">
        <v>79.099999999999994</v>
      </c>
      <c r="G28" s="364">
        <v>0.90040865576159079</v>
      </c>
      <c r="H28" s="368">
        <v>3.6</v>
      </c>
      <c r="I28" s="365">
        <v>76.599999999999994</v>
      </c>
      <c r="J28" s="364">
        <v>0.8654780466861004</v>
      </c>
      <c r="K28" s="368">
        <v>3.4</v>
      </c>
      <c r="L28" s="365">
        <v>73.3</v>
      </c>
      <c r="M28" s="364">
        <v>0.75506293907991517</v>
      </c>
      <c r="N28" s="368">
        <v>3.1</v>
      </c>
      <c r="O28" s="365">
        <v>67.3</v>
      </c>
      <c r="P28" s="364">
        <v>0.75114960489307558</v>
      </c>
      <c r="Q28" s="369">
        <v>2858</v>
      </c>
      <c r="R28" s="347">
        <v>64435</v>
      </c>
      <c r="S28" s="361">
        <v>0.70861375639962842</v>
      </c>
      <c r="T28" s="369">
        <v>2609</v>
      </c>
      <c r="U28" s="347">
        <v>65549</v>
      </c>
      <c r="V28" s="364">
        <v>0.70425758407277028</v>
      </c>
      <c r="W28" s="369">
        <v>2360</v>
      </c>
      <c r="X28" s="347">
        <v>54805</v>
      </c>
      <c r="Y28" s="344">
        <v>0.55323990370336829</v>
      </c>
      <c r="Z28" s="360">
        <v>2111</v>
      </c>
      <c r="AA28" s="347">
        <v>49627</v>
      </c>
      <c r="AB28" s="361">
        <v>0.52358003958052823</v>
      </c>
      <c r="AC28" s="369">
        <v>1861.46</v>
      </c>
      <c r="AD28" s="347">
        <v>47223.6</v>
      </c>
      <c r="AE28" s="344">
        <v>0.51022301191168118</v>
      </c>
      <c r="AF28" s="369">
        <v>1612</v>
      </c>
      <c r="AG28" s="370">
        <v>44168</v>
      </c>
      <c r="AH28" s="344">
        <v>0.45292196717950761</v>
      </c>
      <c r="AI28" s="369">
        <v>1368.8</v>
      </c>
      <c r="AJ28" s="347">
        <v>35571.699999999997</v>
      </c>
      <c r="AK28" s="344">
        <v>0.25038483862945798</v>
      </c>
      <c r="AL28" s="369">
        <v>1280</v>
      </c>
      <c r="AM28" s="370">
        <v>34055</v>
      </c>
      <c r="AN28" s="344">
        <v>0</v>
      </c>
      <c r="AO28" s="369">
        <v>1125</v>
      </c>
      <c r="AP28" s="370">
        <v>29112</v>
      </c>
      <c r="AQ28" s="344">
        <v>0.20762396156817139</v>
      </c>
      <c r="AR28" s="369">
        <v>1036.1600000000001</v>
      </c>
      <c r="AS28" s="347">
        <v>27812.597000000002</v>
      </c>
      <c r="AT28" s="344">
        <v>0.22632692278013816</v>
      </c>
      <c r="AU28" s="348">
        <v>882</v>
      </c>
      <c r="AV28" s="347">
        <v>23847</v>
      </c>
      <c r="AW28" s="344">
        <v>0.18131468083993396</v>
      </c>
      <c r="AX28" s="369">
        <v>793</v>
      </c>
      <c r="AY28" s="370">
        <v>20942</v>
      </c>
      <c r="AZ28" s="344">
        <v>0.16410220726166763</v>
      </c>
      <c r="BA28" s="369">
        <v>639</v>
      </c>
      <c r="BB28" s="370">
        <v>19625</v>
      </c>
      <c r="BC28" s="344">
        <v>0.14556410001369971</v>
      </c>
      <c r="BD28" s="369">
        <v>500</v>
      </c>
      <c r="BE28" s="347">
        <v>16400</v>
      </c>
      <c r="BF28" s="344">
        <v>0.11648551275360104</v>
      </c>
      <c r="BG28" s="369">
        <v>400</v>
      </c>
      <c r="BH28" s="347">
        <v>11000</v>
      </c>
      <c r="BI28" s="344">
        <v>0</v>
      </c>
      <c r="BJ28" s="369">
        <v>300</v>
      </c>
      <c r="BK28" s="347">
        <v>9100</v>
      </c>
      <c r="BL28" s="344">
        <v>4.0878912797013382E-2</v>
      </c>
      <c r="BM28" s="369">
        <v>200</v>
      </c>
      <c r="BN28" s="359">
        <v>4.5</v>
      </c>
      <c r="BO28" s="344">
        <v>2.0816660730063424E-2</v>
      </c>
      <c r="BP28" s="369">
        <v>200</v>
      </c>
      <c r="BQ28" s="340">
        <v>4.4000000000000004</v>
      </c>
      <c r="BR28" s="344">
        <v>2.093583167591332E-2</v>
      </c>
      <c r="BS28" s="369">
        <v>0</v>
      </c>
      <c r="BT28" s="340">
        <v>0</v>
      </c>
      <c r="BU28" s="344">
        <v>0</v>
      </c>
      <c r="BV28" s="360">
        <v>0</v>
      </c>
      <c r="BW28" s="340">
        <v>0</v>
      </c>
      <c r="BX28" s="344">
        <v>0</v>
      </c>
      <c r="BY28" s="369">
        <v>0</v>
      </c>
      <c r="BZ28" s="340">
        <v>0</v>
      </c>
      <c r="CA28" s="375">
        <v>0</v>
      </c>
      <c r="CB28" s="369">
        <v>0</v>
      </c>
      <c r="CC28" s="340">
        <v>0</v>
      </c>
      <c r="CD28" s="375">
        <v>0</v>
      </c>
      <c r="CE28" s="369">
        <v>0</v>
      </c>
      <c r="CF28" s="340">
        <v>0</v>
      </c>
      <c r="CG28" s="344">
        <v>0</v>
      </c>
      <c r="CH28" s="369">
        <v>0</v>
      </c>
      <c r="CI28" s="340">
        <v>0</v>
      </c>
      <c r="CJ28" s="344">
        <v>0</v>
      </c>
      <c r="CK28" s="369">
        <v>0</v>
      </c>
      <c r="CL28" s="340">
        <v>0</v>
      </c>
      <c r="CM28" s="344">
        <v>0</v>
      </c>
      <c r="CN28" s="368">
        <v>0</v>
      </c>
      <c r="CO28" s="340">
        <v>0</v>
      </c>
      <c r="CP28" s="344">
        <v>0</v>
      </c>
      <c r="CQ28" s="367">
        <v>0</v>
      </c>
      <c r="CR28" s="352">
        <v>0</v>
      </c>
      <c r="CS28" s="373">
        <v>0</v>
      </c>
      <c r="CT28" s="367">
        <v>0</v>
      </c>
      <c r="CU28" s="352">
        <v>0</v>
      </c>
      <c r="CV28" s="373">
        <v>0</v>
      </c>
      <c r="CW28" s="367">
        <v>0</v>
      </c>
      <c r="CX28" s="352">
        <v>0</v>
      </c>
      <c r="CY28" s="373">
        <v>0</v>
      </c>
      <c r="CZ28" s="367">
        <v>0</v>
      </c>
      <c r="DA28" s="352">
        <v>0</v>
      </c>
      <c r="DB28" s="354">
        <v>0</v>
      </c>
      <c r="DC28" s="367">
        <v>0</v>
      </c>
      <c r="DD28" s="352">
        <v>0</v>
      </c>
      <c r="DE28" s="373">
        <v>0</v>
      </c>
      <c r="DF28" s="367">
        <v>0</v>
      </c>
      <c r="DG28" s="352">
        <v>0</v>
      </c>
      <c r="DH28" s="373">
        <v>0</v>
      </c>
      <c r="DI28" s="367"/>
      <c r="DJ28" s="352"/>
      <c r="DK28" s="374">
        <v>0</v>
      </c>
      <c r="DL28" s="367"/>
      <c r="DM28" s="352"/>
      <c r="DN28" s="374">
        <v>0</v>
      </c>
      <c r="DO28" s="367"/>
      <c r="DP28" s="352"/>
      <c r="DQ28" s="374">
        <v>0</v>
      </c>
      <c r="DR28" s="367"/>
      <c r="DS28" s="352"/>
      <c r="DT28" s="374">
        <v>0</v>
      </c>
      <c r="DU28" s="367"/>
      <c r="DV28" s="352"/>
      <c r="DW28" s="374">
        <v>0</v>
      </c>
      <c r="DX28" s="367"/>
      <c r="DY28" s="352"/>
      <c r="DZ28" s="374">
        <v>0</v>
      </c>
      <c r="EA28" s="367"/>
      <c r="EB28" s="352"/>
      <c r="EC28" s="374">
        <v>0</v>
      </c>
      <c r="ED28" s="367"/>
      <c r="EE28" s="352"/>
      <c r="EF28" s="374">
        <v>0</v>
      </c>
      <c r="EG28" s="367"/>
      <c r="EH28" s="352"/>
      <c r="EI28" s="374">
        <v>0</v>
      </c>
      <c r="EJ28" s="367"/>
      <c r="EK28" s="352"/>
      <c r="EL28" s="374">
        <v>0</v>
      </c>
      <c r="EM28" s="367"/>
      <c r="EN28" s="352"/>
      <c r="EO28" s="374">
        <v>0</v>
      </c>
      <c r="EP28" s="367"/>
      <c r="EQ28" s="352"/>
      <c r="ER28" s="374">
        <v>0</v>
      </c>
      <c r="ES28" s="367"/>
      <c r="ET28" s="352"/>
      <c r="EU28" s="374">
        <v>0</v>
      </c>
      <c r="EV28" s="367"/>
      <c r="EW28" s="352"/>
      <c r="EX28" s="374">
        <v>0</v>
      </c>
      <c r="EY28" s="367"/>
      <c r="EZ28" s="352"/>
      <c r="FA28" s="374">
        <v>0</v>
      </c>
      <c r="FB28" s="367"/>
      <c r="FC28" s="352"/>
      <c r="FD28" s="374">
        <v>0</v>
      </c>
      <c r="FE28" s="367"/>
      <c r="FF28" s="352"/>
      <c r="FG28" s="374">
        <v>0</v>
      </c>
      <c r="FH28" s="367"/>
      <c r="FI28" s="352"/>
      <c r="FJ28" s="374">
        <v>0</v>
      </c>
      <c r="FK28" s="367"/>
      <c r="FL28" s="352"/>
      <c r="FM28" s="374">
        <v>0</v>
      </c>
      <c r="FN28" s="367"/>
      <c r="FO28" s="352"/>
      <c r="FP28" s="374">
        <v>0</v>
      </c>
      <c r="FQ28" s="367"/>
      <c r="FR28" s="352"/>
      <c r="FS28" s="374">
        <v>0</v>
      </c>
      <c r="FT28" s="367"/>
      <c r="FU28" s="352"/>
      <c r="FV28" s="374">
        <v>0</v>
      </c>
      <c r="FW28" s="367"/>
      <c r="FX28" s="352"/>
      <c r="FY28" s="374">
        <v>0</v>
      </c>
      <c r="FZ28" s="367"/>
      <c r="GA28" s="352"/>
      <c r="GB28" s="374">
        <v>0</v>
      </c>
      <c r="GC28" s="367"/>
      <c r="GD28" s="352"/>
      <c r="GE28" s="374">
        <v>0</v>
      </c>
      <c r="GF28" s="367"/>
      <c r="GG28" s="352"/>
      <c r="GH28" s="374">
        <v>0</v>
      </c>
      <c r="GI28" s="367"/>
      <c r="GJ28" s="352"/>
      <c r="GK28" s="374">
        <v>0</v>
      </c>
      <c r="GL28" s="367"/>
      <c r="GM28" s="352"/>
      <c r="GN28" s="374">
        <v>0</v>
      </c>
      <c r="GO28" s="367"/>
      <c r="GP28" s="352"/>
      <c r="GQ28" s="374">
        <v>0</v>
      </c>
      <c r="GR28" s="367"/>
      <c r="GS28" s="352"/>
      <c r="GT28" s="374">
        <v>0</v>
      </c>
      <c r="GU28" s="367"/>
      <c r="GV28" s="352"/>
      <c r="GW28" s="374">
        <v>0</v>
      </c>
      <c r="GX28" s="367"/>
      <c r="GY28" s="352"/>
      <c r="GZ28" s="374">
        <v>0</v>
      </c>
      <c r="HA28" s="367"/>
      <c r="HB28" s="352"/>
      <c r="HC28" s="374">
        <v>0</v>
      </c>
      <c r="HD28" s="367"/>
      <c r="HE28" s="352"/>
      <c r="HF28" s="374">
        <v>0</v>
      </c>
      <c r="HG28" s="367"/>
      <c r="HH28" s="352"/>
      <c r="HI28" s="374">
        <v>0</v>
      </c>
      <c r="HJ28" s="367"/>
      <c r="HK28" s="352"/>
      <c r="HL28" s="374">
        <v>0</v>
      </c>
      <c r="HM28" s="367"/>
      <c r="HN28" s="352"/>
      <c r="HO28" s="374">
        <v>0</v>
      </c>
      <c r="HP28" s="367"/>
      <c r="HQ28" s="352"/>
      <c r="HR28" s="374">
        <v>0</v>
      </c>
      <c r="HS28" s="367"/>
      <c r="HT28" s="352"/>
      <c r="HU28" s="374">
        <v>0</v>
      </c>
      <c r="HV28" s="367"/>
      <c r="HW28" s="352"/>
      <c r="HX28" s="374">
        <v>0</v>
      </c>
      <c r="HY28" s="367"/>
      <c r="HZ28" s="352"/>
      <c r="IA28" s="374">
        <v>0</v>
      </c>
      <c r="IB28" s="367"/>
      <c r="IC28" s="352"/>
      <c r="ID28" s="374">
        <v>0</v>
      </c>
      <c r="IE28" s="367"/>
      <c r="IF28" s="352"/>
      <c r="IG28" s="374">
        <v>0</v>
      </c>
      <c r="IH28" s="367"/>
      <c r="II28" s="352"/>
      <c r="IJ28" s="374">
        <v>0</v>
      </c>
      <c r="IK28" s="367"/>
      <c r="IL28" s="352"/>
      <c r="IM28" s="374">
        <v>0</v>
      </c>
      <c r="IN28" s="367"/>
      <c r="IO28" s="352"/>
      <c r="IP28" s="374">
        <v>0</v>
      </c>
      <c r="IQ28" s="367"/>
      <c r="IR28" s="352"/>
      <c r="IS28" s="374">
        <v>0</v>
      </c>
      <c r="IT28" s="367"/>
      <c r="IU28" s="352"/>
      <c r="IV28" s="374">
        <v>0</v>
      </c>
      <c r="IW28" s="367"/>
      <c r="IX28" s="352"/>
      <c r="IY28" s="374">
        <v>0</v>
      </c>
      <c r="IZ28" s="367"/>
      <c r="JA28" s="352"/>
      <c r="JB28" s="374">
        <v>0</v>
      </c>
    </row>
    <row r="29" spans="1:262" ht="14.5" hidden="1" customHeight="1" x14ac:dyDescent="0.35">
      <c r="A29" s="366"/>
      <c r="B29" s="368"/>
      <c r="C29" s="365"/>
      <c r="D29" s="364"/>
      <c r="E29" s="368"/>
      <c r="F29" s="365"/>
      <c r="G29" s="364"/>
      <c r="H29" s="368"/>
      <c r="I29" s="365"/>
      <c r="J29" s="364"/>
      <c r="K29" s="368"/>
      <c r="L29" s="365"/>
      <c r="M29" s="364"/>
      <c r="N29" s="368"/>
      <c r="O29" s="365"/>
      <c r="P29" s="364"/>
      <c r="Q29" s="369"/>
      <c r="R29" s="347"/>
      <c r="S29" s="361"/>
      <c r="T29" s="369"/>
      <c r="U29" s="347"/>
      <c r="V29" s="364"/>
      <c r="W29" s="369"/>
      <c r="X29" s="347"/>
      <c r="Y29" s="344"/>
      <c r="Z29" s="360"/>
      <c r="AA29" s="347"/>
      <c r="AB29" s="361"/>
      <c r="AC29" s="369"/>
      <c r="AD29" s="347"/>
      <c r="AE29" s="344"/>
      <c r="AF29" s="369"/>
      <c r="AG29" s="370"/>
      <c r="AH29" s="344"/>
      <c r="AI29" s="369"/>
      <c r="AJ29" s="347"/>
      <c r="AK29" s="344"/>
      <c r="AL29" s="369"/>
      <c r="AM29" s="370"/>
      <c r="AN29" s="344"/>
      <c r="AO29" s="369"/>
      <c r="AP29" s="370"/>
      <c r="AQ29" s="344"/>
      <c r="AR29" s="369"/>
      <c r="AS29" s="347"/>
      <c r="AT29" s="344"/>
      <c r="AU29" s="348"/>
      <c r="AV29" s="347"/>
      <c r="AW29" s="344"/>
      <c r="AX29" s="369"/>
      <c r="AY29" s="370"/>
      <c r="AZ29" s="344"/>
      <c r="BA29" s="369"/>
      <c r="BB29" s="370"/>
      <c r="BC29" s="344"/>
      <c r="BD29" s="369"/>
      <c r="BE29" s="347"/>
      <c r="BF29" s="344"/>
      <c r="BG29" s="369"/>
      <c r="BH29" s="347"/>
      <c r="BI29" s="344"/>
      <c r="BJ29" s="369"/>
      <c r="BK29" s="347"/>
      <c r="BL29" s="344"/>
      <c r="BM29" s="369"/>
      <c r="BN29" s="359"/>
      <c r="BO29" s="344"/>
      <c r="BP29" s="369"/>
      <c r="BQ29" s="340"/>
      <c r="BR29" s="344"/>
      <c r="BS29" s="369"/>
      <c r="BT29" s="340"/>
      <c r="BU29" s="344"/>
      <c r="BV29" s="360"/>
      <c r="BW29" s="340"/>
      <c r="BX29" s="344"/>
      <c r="BY29" s="369"/>
      <c r="BZ29" s="340"/>
      <c r="CA29" s="344"/>
      <c r="CB29" s="369"/>
      <c r="CC29" s="340"/>
      <c r="CD29" s="344"/>
      <c r="CE29" s="369"/>
      <c r="CF29" s="340"/>
      <c r="CG29" s="344"/>
      <c r="CH29" s="369"/>
      <c r="CI29" s="340"/>
      <c r="CJ29" s="344"/>
      <c r="CK29" s="369"/>
      <c r="CL29" s="340"/>
      <c r="CM29" s="344"/>
      <c r="CN29" s="368"/>
      <c r="CO29" s="340"/>
      <c r="CP29" s="344"/>
      <c r="CQ29" s="367"/>
      <c r="CR29" s="352"/>
      <c r="CS29" s="354"/>
      <c r="CT29" s="367"/>
      <c r="CU29" s="352"/>
      <c r="CV29" s="373"/>
      <c r="CW29" s="367"/>
      <c r="CX29" s="352"/>
      <c r="CY29" s="354"/>
      <c r="CZ29" s="367"/>
      <c r="DA29" s="352"/>
      <c r="DB29" s="354"/>
      <c r="DC29" s="367"/>
      <c r="DD29" s="352"/>
      <c r="DE29" s="354"/>
      <c r="DF29" s="367"/>
      <c r="DG29" s="352"/>
      <c r="DH29" s="354"/>
      <c r="DI29" s="367"/>
      <c r="DJ29" s="352"/>
      <c r="DK29" s="351"/>
      <c r="DL29" s="367"/>
      <c r="DM29" s="352"/>
      <c r="DN29" s="351"/>
      <c r="DO29" s="367"/>
      <c r="DP29" s="352"/>
      <c r="DQ29" s="351"/>
      <c r="DR29" s="367"/>
      <c r="DS29" s="352"/>
      <c r="DT29" s="351"/>
      <c r="DU29" s="367"/>
      <c r="DV29" s="352"/>
      <c r="DW29" s="351"/>
      <c r="DX29" s="367"/>
      <c r="DY29" s="352"/>
      <c r="DZ29" s="351"/>
      <c r="EA29" s="367"/>
      <c r="EB29" s="352"/>
      <c r="EC29" s="351"/>
      <c r="ED29" s="367"/>
      <c r="EE29" s="352"/>
      <c r="EF29" s="351"/>
      <c r="EG29" s="367"/>
      <c r="EH29" s="352"/>
      <c r="EI29" s="351"/>
      <c r="EJ29" s="367"/>
      <c r="EK29" s="352"/>
      <c r="EL29" s="351"/>
      <c r="EM29" s="367"/>
      <c r="EN29" s="352"/>
      <c r="EO29" s="351"/>
      <c r="EP29" s="367"/>
      <c r="EQ29" s="352"/>
      <c r="ER29" s="351"/>
      <c r="ES29" s="367"/>
      <c r="ET29" s="352"/>
      <c r="EU29" s="351"/>
      <c r="EV29" s="367"/>
      <c r="EW29" s="352"/>
      <c r="EX29" s="351"/>
      <c r="EY29" s="367"/>
      <c r="EZ29" s="352"/>
      <c r="FA29" s="351"/>
      <c r="FB29" s="367"/>
      <c r="FC29" s="352"/>
      <c r="FD29" s="351"/>
      <c r="FE29" s="367"/>
      <c r="FF29" s="352"/>
      <c r="FG29" s="351"/>
      <c r="FH29" s="367"/>
      <c r="FI29" s="352"/>
      <c r="FJ29" s="351"/>
      <c r="FK29" s="367"/>
      <c r="FL29" s="352"/>
      <c r="FM29" s="351"/>
      <c r="FN29" s="367"/>
      <c r="FO29" s="352"/>
      <c r="FP29" s="351"/>
      <c r="FQ29" s="367"/>
      <c r="FR29" s="352"/>
      <c r="FS29" s="351"/>
      <c r="FT29" s="367"/>
      <c r="FU29" s="352"/>
      <c r="FV29" s="351"/>
      <c r="FW29" s="367"/>
      <c r="FX29" s="352"/>
      <c r="FY29" s="351"/>
      <c r="FZ29" s="367"/>
      <c r="GA29" s="352"/>
      <c r="GB29" s="351"/>
      <c r="GC29" s="367"/>
      <c r="GD29" s="352"/>
      <c r="GE29" s="351"/>
      <c r="GF29" s="367"/>
      <c r="GG29" s="352"/>
      <c r="GH29" s="351"/>
      <c r="GI29" s="367"/>
      <c r="GJ29" s="352"/>
      <c r="GK29" s="351"/>
      <c r="GL29" s="367"/>
      <c r="GM29" s="352"/>
      <c r="GN29" s="351"/>
      <c r="GO29" s="367"/>
      <c r="GP29" s="352"/>
      <c r="GQ29" s="351"/>
      <c r="GR29" s="367"/>
      <c r="GS29" s="352"/>
      <c r="GT29" s="351"/>
      <c r="GU29" s="367"/>
      <c r="GV29" s="352"/>
      <c r="GW29" s="351"/>
      <c r="GX29" s="367"/>
      <c r="GY29" s="352"/>
      <c r="GZ29" s="351"/>
      <c r="HA29" s="367"/>
      <c r="HB29" s="352"/>
      <c r="HC29" s="351"/>
      <c r="HD29" s="367"/>
      <c r="HE29" s="352"/>
      <c r="HF29" s="351"/>
      <c r="HG29" s="367"/>
      <c r="HH29" s="352"/>
      <c r="HI29" s="351"/>
      <c r="HJ29" s="367"/>
      <c r="HK29" s="352"/>
      <c r="HL29" s="351"/>
      <c r="HM29" s="367"/>
      <c r="HN29" s="352"/>
      <c r="HO29" s="351"/>
      <c r="HP29" s="367"/>
      <c r="HQ29" s="352"/>
      <c r="HR29" s="351"/>
      <c r="HS29" s="367"/>
      <c r="HT29" s="352"/>
      <c r="HU29" s="351"/>
      <c r="HV29" s="367"/>
      <c r="HW29" s="352"/>
      <c r="HX29" s="351"/>
      <c r="HY29" s="367"/>
      <c r="HZ29" s="352"/>
      <c r="IA29" s="351"/>
      <c r="IB29" s="367"/>
      <c r="IC29" s="352"/>
      <c r="ID29" s="351"/>
      <c r="IE29" s="367"/>
      <c r="IF29" s="352"/>
      <c r="IG29" s="351"/>
      <c r="IH29" s="367"/>
      <c r="II29" s="352"/>
      <c r="IJ29" s="351"/>
      <c r="IK29" s="367"/>
      <c r="IL29" s="352"/>
      <c r="IM29" s="351"/>
      <c r="IN29" s="367"/>
      <c r="IO29" s="352"/>
      <c r="IP29" s="351"/>
      <c r="IQ29" s="367"/>
      <c r="IR29" s="352"/>
      <c r="IS29" s="351"/>
      <c r="IT29" s="367"/>
      <c r="IU29" s="352"/>
      <c r="IV29" s="351"/>
      <c r="IW29" s="367"/>
      <c r="IX29" s="352"/>
      <c r="IY29" s="351"/>
      <c r="IZ29" s="367"/>
      <c r="JA29" s="352"/>
      <c r="JB29" s="351"/>
    </row>
    <row r="30" spans="1:262" ht="14.5" hidden="1" customHeight="1" x14ac:dyDescent="0.35">
      <c r="A30" s="350" t="s">
        <v>480</v>
      </c>
      <c r="B30" s="368"/>
      <c r="C30" s="365"/>
      <c r="D30" s="364">
        <v>0</v>
      </c>
      <c r="E30" s="368"/>
      <c r="F30" s="365"/>
      <c r="G30" s="364">
        <v>0</v>
      </c>
      <c r="H30" s="368"/>
      <c r="I30" s="365"/>
      <c r="J30" s="364">
        <v>0</v>
      </c>
      <c r="K30" s="368"/>
      <c r="L30" s="365"/>
      <c r="M30" s="364">
        <v>0</v>
      </c>
      <c r="N30" s="368"/>
      <c r="O30" s="365"/>
      <c r="P30" s="364">
        <v>0</v>
      </c>
      <c r="Q30" s="369"/>
      <c r="R30" s="347"/>
      <c r="S30" s="361">
        <v>0</v>
      </c>
      <c r="T30" s="369"/>
      <c r="U30" s="347"/>
      <c r="V30" s="364">
        <v>0</v>
      </c>
      <c r="W30" s="369"/>
      <c r="X30" s="347"/>
      <c r="Y30" s="344">
        <v>0</v>
      </c>
      <c r="Z30" s="360"/>
      <c r="AA30" s="347"/>
      <c r="AB30" s="361">
        <v>0</v>
      </c>
      <c r="AC30" s="369"/>
      <c r="AD30" s="347"/>
      <c r="AE30" s="344">
        <v>0</v>
      </c>
      <c r="AF30" s="369"/>
      <c r="AG30" s="370"/>
      <c r="AH30" s="344">
        <v>0</v>
      </c>
      <c r="AI30" s="369"/>
      <c r="AJ30" s="347"/>
      <c r="AK30" s="344">
        <v>0</v>
      </c>
      <c r="AL30" s="369"/>
      <c r="AM30" s="370"/>
      <c r="AN30" s="344">
        <v>0</v>
      </c>
      <c r="AO30" s="369"/>
      <c r="AP30" s="370"/>
      <c r="AQ30" s="344">
        <v>0</v>
      </c>
      <c r="AR30" s="369"/>
      <c r="AS30" s="347"/>
      <c r="AT30" s="344">
        <v>0</v>
      </c>
      <c r="AU30" s="348"/>
      <c r="AV30" s="347"/>
      <c r="AW30" s="344">
        <v>0</v>
      </c>
      <c r="AX30" s="369"/>
      <c r="AY30" s="370"/>
      <c r="AZ30" s="344">
        <v>0</v>
      </c>
      <c r="BA30" s="369"/>
      <c r="BB30" s="370"/>
      <c r="BC30" s="344">
        <v>0</v>
      </c>
      <c r="BD30" s="369">
        <v>0</v>
      </c>
      <c r="BE30" s="347">
        <v>1800</v>
      </c>
      <c r="BF30" s="344">
        <v>1.2784995302224504E-2</v>
      </c>
      <c r="BG30" s="369">
        <v>0</v>
      </c>
      <c r="BH30" s="347">
        <v>1400</v>
      </c>
      <c r="BI30" s="344">
        <v>0</v>
      </c>
      <c r="BJ30" s="369">
        <v>0</v>
      </c>
      <c r="BK30" s="347">
        <v>1500</v>
      </c>
      <c r="BL30" s="344">
        <v>6.7382823291780285E-3</v>
      </c>
      <c r="BM30" s="369">
        <v>0</v>
      </c>
      <c r="BN30" s="359">
        <v>1.2</v>
      </c>
      <c r="BO30" s="344">
        <v>5.5511095280169117E-3</v>
      </c>
      <c r="BP30" s="369">
        <v>0</v>
      </c>
      <c r="BQ30" s="340">
        <v>1.2</v>
      </c>
      <c r="BR30" s="344">
        <v>5.7097722752490875E-3</v>
      </c>
      <c r="BS30" s="369">
        <v>0</v>
      </c>
      <c r="BT30" s="340">
        <v>1.1000000000000001</v>
      </c>
      <c r="BU30" s="344">
        <v>5.1359389663689393E-3</v>
      </c>
      <c r="BV30" s="360">
        <v>0</v>
      </c>
      <c r="BW30" s="340">
        <v>1</v>
      </c>
      <c r="BX30" s="344">
        <v>4.1114025638706387E-3</v>
      </c>
      <c r="BY30" s="369">
        <v>0</v>
      </c>
      <c r="BZ30" s="340">
        <v>1</v>
      </c>
      <c r="CA30" s="344">
        <v>3.7324992441689028E-3</v>
      </c>
      <c r="CB30" s="369">
        <v>0</v>
      </c>
      <c r="CC30" s="340">
        <v>1</v>
      </c>
      <c r="CD30" s="344">
        <v>3.4087810199072812E-3</v>
      </c>
      <c r="CE30" s="369">
        <v>0</v>
      </c>
      <c r="CF30" s="340">
        <v>1</v>
      </c>
      <c r="CG30" s="344">
        <v>3.360666756284447E-3</v>
      </c>
      <c r="CH30" s="369">
        <v>0</v>
      </c>
      <c r="CI30" s="340">
        <v>0.4</v>
      </c>
      <c r="CJ30" s="344">
        <v>1.293058860039309E-3</v>
      </c>
      <c r="CK30" s="369">
        <v>0</v>
      </c>
      <c r="CL30" s="340">
        <v>0.2</v>
      </c>
      <c r="CM30" s="344">
        <v>6.3793411416468914E-4</v>
      </c>
      <c r="CN30" s="368">
        <v>0</v>
      </c>
      <c r="CO30" s="340">
        <v>0</v>
      </c>
      <c r="CP30" s="344">
        <v>0</v>
      </c>
      <c r="CQ30" s="367">
        <v>0</v>
      </c>
      <c r="CR30" s="352">
        <v>0</v>
      </c>
      <c r="CS30" s="354">
        <v>0</v>
      </c>
      <c r="CT30" s="367">
        <v>0</v>
      </c>
      <c r="CU30" s="352">
        <v>0</v>
      </c>
      <c r="CV30" s="354">
        <v>0</v>
      </c>
      <c r="CW30" s="367">
        <v>0</v>
      </c>
      <c r="CX30" s="352">
        <v>0</v>
      </c>
      <c r="CY30" s="354">
        <v>0</v>
      </c>
      <c r="CZ30" s="367">
        <v>0</v>
      </c>
      <c r="DA30" s="352">
        <v>0</v>
      </c>
      <c r="DB30" s="354">
        <v>0</v>
      </c>
      <c r="DC30" s="367">
        <v>0</v>
      </c>
      <c r="DD30" s="352">
        <v>0</v>
      </c>
      <c r="DE30" s="354">
        <v>0</v>
      </c>
      <c r="DF30" s="367">
        <v>0</v>
      </c>
      <c r="DG30" s="352">
        <v>0</v>
      </c>
      <c r="DH30" s="354">
        <v>0</v>
      </c>
      <c r="DI30" s="367"/>
      <c r="DJ30" s="352"/>
      <c r="DK30" s="351">
        <v>0</v>
      </c>
      <c r="DL30" s="367"/>
      <c r="DM30" s="352"/>
      <c r="DN30" s="351">
        <v>0</v>
      </c>
      <c r="DO30" s="367"/>
      <c r="DP30" s="352"/>
      <c r="DQ30" s="351">
        <v>0</v>
      </c>
      <c r="DR30" s="367"/>
      <c r="DS30" s="352"/>
      <c r="DT30" s="351">
        <v>0</v>
      </c>
      <c r="DU30" s="367"/>
      <c r="DV30" s="352"/>
      <c r="DW30" s="351">
        <v>0</v>
      </c>
      <c r="DX30" s="367"/>
      <c r="DY30" s="352"/>
      <c r="DZ30" s="351">
        <v>0</v>
      </c>
      <c r="EA30" s="367"/>
      <c r="EB30" s="352"/>
      <c r="EC30" s="351">
        <v>0</v>
      </c>
      <c r="ED30" s="367"/>
      <c r="EE30" s="352"/>
      <c r="EF30" s="351">
        <v>0</v>
      </c>
      <c r="EG30" s="367"/>
      <c r="EH30" s="352"/>
      <c r="EI30" s="351">
        <v>0</v>
      </c>
      <c r="EJ30" s="367"/>
      <c r="EK30" s="352"/>
      <c r="EL30" s="351">
        <v>0</v>
      </c>
      <c r="EM30" s="367"/>
      <c r="EN30" s="352"/>
      <c r="EO30" s="351">
        <v>0</v>
      </c>
      <c r="EP30" s="367"/>
      <c r="EQ30" s="352"/>
      <c r="ER30" s="351">
        <v>0</v>
      </c>
      <c r="ES30" s="367"/>
      <c r="ET30" s="352"/>
      <c r="EU30" s="351">
        <v>0</v>
      </c>
      <c r="EV30" s="367"/>
      <c r="EW30" s="352"/>
      <c r="EX30" s="351">
        <v>0</v>
      </c>
      <c r="EY30" s="367"/>
      <c r="EZ30" s="352"/>
      <c r="FA30" s="351">
        <v>0</v>
      </c>
      <c r="FB30" s="367"/>
      <c r="FC30" s="352"/>
      <c r="FD30" s="351">
        <v>0</v>
      </c>
      <c r="FE30" s="367"/>
      <c r="FF30" s="352"/>
      <c r="FG30" s="351">
        <v>0</v>
      </c>
      <c r="FH30" s="367"/>
      <c r="FI30" s="352"/>
      <c r="FJ30" s="351">
        <v>0</v>
      </c>
      <c r="FK30" s="367"/>
      <c r="FL30" s="352"/>
      <c r="FM30" s="351">
        <v>0</v>
      </c>
      <c r="FN30" s="367"/>
      <c r="FO30" s="352"/>
      <c r="FP30" s="351">
        <v>0</v>
      </c>
      <c r="FQ30" s="367"/>
      <c r="FR30" s="352"/>
      <c r="FS30" s="351">
        <v>0</v>
      </c>
      <c r="FT30" s="367"/>
      <c r="FU30" s="352"/>
      <c r="FV30" s="351">
        <v>0</v>
      </c>
      <c r="FW30" s="367"/>
      <c r="FX30" s="352"/>
      <c r="FY30" s="351">
        <v>0</v>
      </c>
      <c r="FZ30" s="367"/>
      <c r="GA30" s="352"/>
      <c r="GB30" s="351">
        <v>0</v>
      </c>
      <c r="GC30" s="367"/>
      <c r="GD30" s="352"/>
      <c r="GE30" s="351">
        <v>0</v>
      </c>
      <c r="GF30" s="367"/>
      <c r="GG30" s="352"/>
      <c r="GH30" s="351">
        <v>0</v>
      </c>
      <c r="GI30" s="367"/>
      <c r="GJ30" s="352"/>
      <c r="GK30" s="351">
        <v>0</v>
      </c>
      <c r="GL30" s="367"/>
      <c r="GM30" s="352"/>
      <c r="GN30" s="351">
        <v>0</v>
      </c>
      <c r="GO30" s="367"/>
      <c r="GP30" s="352"/>
      <c r="GQ30" s="351">
        <v>0</v>
      </c>
      <c r="GR30" s="367"/>
      <c r="GS30" s="352"/>
      <c r="GT30" s="351">
        <v>0</v>
      </c>
      <c r="GU30" s="367"/>
      <c r="GV30" s="352"/>
      <c r="GW30" s="351">
        <v>0</v>
      </c>
      <c r="GX30" s="367"/>
      <c r="GY30" s="352"/>
      <c r="GZ30" s="351">
        <v>0</v>
      </c>
      <c r="HA30" s="367"/>
      <c r="HB30" s="352"/>
      <c r="HC30" s="351">
        <v>0</v>
      </c>
      <c r="HD30" s="367"/>
      <c r="HE30" s="352"/>
      <c r="HF30" s="351">
        <v>0</v>
      </c>
      <c r="HG30" s="367"/>
      <c r="HH30" s="352"/>
      <c r="HI30" s="351">
        <v>0</v>
      </c>
      <c r="HJ30" s="367"/>
      <c r="HK30" s="352"/>
      <c r="HL30" s="351">
        <v>0</v>
      </c>
      <c r="HM30" s="367"/>
      <c r="HN30" s="352"/>
      <c r="HO30" s="351">
        <v>0</v>
      </c>
      <c r="HP30" s="367"/>
      <c r="HQ30" s="352"/>
      <c r="HR30" s="351">
        <v>0</v>
      </c>
      <c r="HS30" s="367"/>
      <c r="HT30" s="352"/>
      <c r="HU30" s="351">
        <v>0</v>
      </c>
      <c r="HV30" s="367"/>
      <c r="HW30" s="352"/>
      <c r="HX30" s="351">
        <v>0</v>
      </c>
      <c r="HY30" s="367"/>
      <c r="HZ30" s="352"/>
      <c r="IA30" s="351">
        <v>0</v>
      </c>
      <c r="IB30" s="367"/>
      <c r="IC30" s="352"/>
      <c r="ID30" s="351">
        <v>0</v>
      </c>
      <c r="IE30" s="367"/>
      <c r="IF30" s="352"/>
      <c r="IG30" s="351">
        <v>0</v>
      </c>
      <c r="IH30" s="367"/>
      <c r="II30" s="352"/>
      <c r="IJ30" s="351">
        <v>0</v>
      </c>
      <c r="IK30" s="367"/>
      <c r="IL30" s="352"/>
      <c r="IM30" s="351">
        <v>0</v>
      </c>
      <c r="IN30" s="367"/>
      <c r="IO30" s="352"/>
      <c r="IP30" s="351">
        <v>0</v>
      </c>
      <c r="IQ30" s="367"/>
      <c r="IR30" s="352"/>
      <c r="IS30" s="351">
        <v>0</v>
      </c>
      <c r="IT30" s="367"/>
      <c r="IU30" s="352"/>
      <c r="IV30" s="351">
        <v>0</v>
      </c>
      <c r="IW30" s="367"/>
      <c r="IX30" s="352"/>
      <c r="IY30" s="351">
        <v>0</v>
      </c>
      <c r="IZ30" s="367"/>
      <c r="JA30" s="352"/>
      <c r="JB30" s="351">
        <v>0</v>
      </c>
    </row>
    <row r="31" spans="1:262" ht="14.5" customHeight="1" x14ac:dyDescent="0.35">
      <c r="A31" s="350"/>
      <c r="B31" s="368"/>
      <c r="C31" s="365"/>
      <c r="D31" s="364"/>
      <c r="E31" s="368"/>
      <c r="F31" s="365"/>
      <c r="G31" s="364"/>
      <c r="H31" s="368"/>
      <c r="I31" s="365"/>
      <c r="J31" s="364"/>
      <c r="K31" s="368"/>
      <c r="L31" s="365"/>
      <c r="M31" s="364"/>
      <c r="N31" s="368"/>
      <c r="O31" s="365"/>
      <c r="P31" s="364"/>
      <c r="Q31" s="369"/>
      <c r="R31" s="347"/>
      <c r="S31" s="361"/>
      <c r="T31" s="369"/>
      <c r="U31" s="347"/>
      <c r="V31" s="364"/>
      <c r="W31" s="369"/>
      <c r="X31" s="347"/>
      <c r="Y31" s="344"/>
      <c r="Z31" s="360"/>
      <c r="AA31" s="347"/>
      <c r="AB31" s="361"/>
      <c r="AC31" s="369"/>
      <c r="AD31" s="347"/>
      <c r="AE31" s="344"/>
      <c r="AF31" s="369"/>
      <c r="AG31" s="370"/>
      <c r="AH31" s="344"/>
      <c r="AI31" s="369"/>
      <c r="AJ31" s="347"/>
      <c r="AK31" s="344"/>
      <c r="AL31" s="369"/>
      <c r="AM31" s="370"/>
      <c r="AN31" s="344"/>
      <c r="AO31" s="369"/>
      <c r="AP31" s="370"/>
      <c r="AQ31" s="344"/>
      <c r="AR31" s="369"/>
      <c r="AS31" s="347"/>
      <c r="AT31" s="344"/>
      <c r="AU31" s="348"/>
      <c r="AV31" s="347"/>
      <c r="AW31" s="344"/>
      <c r="AX31" s="369"/>
      <c r="AY31" s="370"/>
      <c r="AZ31" s="344"/>
      <c r="BA31" s="369"/>
      <c r="BB31" s="370"/>
      <c r="BC31" s="344"/>
      <c r="BD31" s="369"/>
      <c r="BE31" s="347"/>
      <c r="BF31" s="344"/>
      <c r="BG31" s="369"/>
      <c r="BH31" s="347"/>
      <c r="BI31" s="344"/>
      <c r="BJ31" s="369"/>
      <c r="BK31" s="347"/>
      <c r="BL31" s="344"/>
      <c r="BM31" s="369"/>
      <c r="BN31" s="359"/>
      <c r="BO31" s="344"/>
      <c r="BP31" s="369"/>
      <c r="BQ31" s="340"/>
      <c r="BR31" s="344"/>
      <c r="BS31" s="369"/>
      <c r="BT31" s="340"/>
      <c r="BU31" s="344"/>
      <c r="BV31" s="360"/>
      <c r="BW31" s="340"/>
      <c r="BX31" s="344"/>
      <c r="BY31" s="369"/>
      <c r="BZ31" s="340"/>
      <c r="CA31" s="344"/>
      <c r="CB31" s="369"/>
      <c r="CC31" s="340"/>
      <c r="CD31" s="344"/>
      <c r="CE31" s="369"/>
      <c r="CF31" s="340"/>
      <c r="CG31" s="344"/>
      <c r="CH31" s="369"/>
      <c r="CI31" s="340"/>
      <c r="CJ31" s="344"/>
      <c r="CK31" s="369"/>
      <c r="CL31" s="340"/>
      <c r="CM31" s="344"/>
      <c r="CN31" s="368"/>
      <c r="CO31" s="340"/>
      <c r="CP31" s="344"/>
      <c r="CQ31" s="367"/>
      <c r="CR31" s="352"/>
      <c r="CS31" s="354"/>
      <c r="CT31" s="367"/>
      <c r="CU31" s="352"/>
      <c r="CV31" s="354"/>
      <c r="CW31" s="367"/>
      <c r="CX31" s="352"/>
      <c r="CY31" s="354"/>
      <c r="CZ31" s="367"/>
      <c r="DA31" s="352"/>
      <c r="DB31" s="354"/>
      <c r="DC31" s="367"/>
      <c r="DD31" s="352"/>
      <c r="DE31" s="354"/>
      <c r="DF31" s="367"/>
      <c r="DG31" s="352"/>
      <c r="DH31" s="354"/>
      <c r="DI31" s="367"/>
      <c r="DJ31" s="352"/>
      <c r="DK31" s="351"/>
      <c r="DL31" s="367"/>
      <c r="DM31" s="352"/>
      <c r="DN31" s="351"/>
      <c r="DO31" s="367"/>
      <c r="DP31" s="352"/>
      <c r="DQ31" s="351"/>
      <c r="DR31" s="367"/>
      <c r="DS31" s="352"/>
      <c r="DT31" s="351"/>
      <c r="DU31" s="367"/>
      <c r="DV31" s="352"/>
      <c r="DW31" s="351"/>
      <c r="DX31" s="367"/>
      <c r="DY31" s="352"/>
      <c r="DZ31" s="351"/>
      <c r="EA31" s="367"/>
      <c r="EB31" s="352"/>
      <c r="EC31" s="351"/>
      <c r="ED31" s="367"/>
      <c r="EE31" s="352"/>
      <c r="EF31" s="351"/>
      <c r="EG31" s="367"/>
      <c r="EH31" s="352"/>
      <c r="EI31" s="351"/>
      <c r="EJ31" s="367"/>
      <c r="EK31" s="352"/>
      <c r="EL31" s="351"/>
      <c r="EM31" s="367"/>
      <c r="EN31" s="352"/>
      <c r="EO31" s="351"/>
      <c r="EP31" s="367"/>
      <c r="EQ31" s="352"/>
      <c r="ER31" s="351"/>
      <c r="ES31" s="367"/>
      <c r="ET31" s="352"/>
      <c r="EU31" s="351"/>
      <c r="EV31" s="367"/>
      <c r="EW31" s="352"/>
      <c r="EX31" s="351"/>
      <c r="EY31" s="367"/>
      <c r="EZ31" s="352"/>
      <c r="FA31" s="351"/>
      <c r="FB31" s="367"/>
      <c r="FC31" s="352"/>
      <c r="FD31" s="351"/>
      <c r="FE31" s="367"/>
      <c r="FF31" s="352"/>
      <c r="FG31" s="351"/>
      <c r="FH31" s="367"/>
      <c r="FI31" s="352"/>
      <c r="FJ31" s="351"/>
      <c r="FK31" s="367"/>
      <c r="FL31" s="352"/>
      <c r="FM31" s="351"/>
      <c r="FN31" s="367"/>
      <c r="FO31" s="352"/>
      <c r="FP31" s="351"/>
      <c r="FQ31" s="367"/>
      <c r="FR31" s="352"/>
      <c r="FS31" s="351"/>
      <c r="FT31" s="367"/>
      <c r="FU31" s="352"/>
      <c r="FV31" s="351"/>
      <c r="FW31" s="367"/>
      <c r="FX31" s="352"/>
      <c r="FY31" s="351"/>
      <c r="FZ31" s="367"/>
      <c r="GA31" s="352"/>
      <c r="GB31" s="351"/>
      <c r="GC31" s="367"/>
      <c r="GD31" s="352"/>
      <c r="GE31" s="351"/>
      <c r="GF31" s="367"/>
      <c r="GG31" s="352"/>
      <c r="GH31" s="351"/>
      <c r="GI31" s="367"/>
      <c r="GJ31" s="352"/>
      <c r="GK31" s="351"/>
      <c r="GL31" s="367"/>
      <c r="GM31" s="352"/>
      <c r="GN31" s="351"/>
      <c r="GO31" s="367"/>
      <c r="GP31" s="352"/>
      <c r="GQ31" s="351"/>
      <c r="GR31" s="367"/>
      <c r="GS31" s="352"/>
      <c r="GT31" s="351"/>
      <c r="GU31" s="367"/>
      <c r="GV31" s="352"/>
      <c r="GW31" s="351"/>
      <c r="GX31" s="367"/>
      <c r="GY31" s="352"/>
      <c r="GZ31" s="351"/>
      <c r="HA31" s="367"/>
      <c r="HB31" s="352"/>
      <c r="HC31" s="351"/>
      <c r="HD31" s="367"/>
      <c r="HE31" s="352"/>
      <c r="HF31" s="351"/>
      <c r="HG31" s="367"/>
      <c r="HH31" s="352"/>
      <c r="HI31" s="351"/>
      <c r="HJ31" s="367"/>
      <c r="HK31" s="352"/>
      <c r="HL31" s="351"/>
      <c r="HM31" s="367"/>
      <c r="HN31" s="352"/>
      <c r="HO31" s="351"/>
      <c r="HP31" s="367"/>
      <c r="HQ31" s="352"/>
      <c r="HR31" s="351"/>
      <c r="HS31" s="367"/>
      <c r="HT31" s="352"/>
      <c r="HU31" s="351"/>
      <c r="HV31" s="367"/>
      <c r="HW31" s="352"/>
      <c r="HX31" s="351"/>
      <c r="HY31" s="367"/>
      <c r="HZ31" s="352"/>
      <c r="IA31" s="351"/>
      <c r="IB31" s="367"/>
      <c r="IC31" s="352"/>
      <c r="ID31" s="351"/>
      <c r="IE31" s="367"/>
      <c r="IF31" s="352"/>
      <c r="IG31" s="351"/>
      <c r="IH31" s="367"/>
      <c r="II31" s="352"/>
      <c r="IJ31" s="351"/>
      <c r="IK31" s="367"/>
      <c r="IL31" s="352"/>
      <c r="IM31" s="351"/>
      <c r="IN31" s="367"/>
      <c r="IO31" s="352"/>
      <c r="IP31" s="351"/>
      <c r="IQ31" s="367"/>
      <c r="IR31" s="352"/>
      <c r="IS31" s="351"/>
      <c r="IT31" s="367"/>
      <c r="IU31" s="352"/>
      <c r="IV31" s="351"/>
      <c r="IW31" s="367"/>
      <c r="IX31" s="352"/>
      <c r="IY31" s="351"/>
      <c r="IZ31" s="367"/>
      <c r="JA31" s="352"/>
      <c r="JB31" s="351"/>
    </row>
    <row r="32" spans="1:262" x14ac:dyDescent="0.35">
      <c r="A32" s="350" t="s">
        <v>479</v>
      </c>
      <c r="B32" s="368"/>
      <c r="C32" s="365"/>
      <c r="D32" s="364"/>
      <c r="E32" s="368"/>
      <c r="F32" s="365"/>
      <c r="G32" s="364"/>
      <c r="H32" s="368"/>
      <c r="I32" s="365"/>
      <c r="J32" s="364"/>
      <c r="K32" s="368"/>
      <c r="L32" s="365"/>
      <c r="M32" s="364"/>
      <c r="N32" s="368"/>
      <c r="O32" s="365"/>
      <c r="P32" s="364"/>
      <c r="Q32" s="369"/>
      <c r="R32" s="347"/>
      <c r="S32" s="361"/>
      <c r="T32" s="369"/>
      <c r="U32" s="347"/>
      <c r="V32" s="364"/>
      <c r="W32" s="369"/>
      <c r="X32" s="347"/>
      <c r="Y32" s="344"/>
      <c r="Z32" s="360"/>
      <c r="AA32" s="347"/>
      <c r="AB32" s="361"/>
      <c r="AC32" s="369"/>
      <c r="AD32" s="347"/>
      <c r="AE32" s="344"/>
      <c r="AF32" s="369"/>
      <c r="AG32" s="370"/>
      <c r="AH32" s="344"/>
      <c r="AI32" s="369"/>
      <c r="AJ32" s="347"/>
      <c r="AK32" s="344"/>
      <c r="AL32" s="369"/>
      <c r="AM32" s="370"/>
      <c r="AN32" s="344"/>
      <c r="AO32" s="369"/>
      <c r="AP32" s="370"/>
      <c r="AQ32" s="344"/>
      <c r="AR32" s="369"/>
      <c r="AS32" s="347"/>
      <c r="AT32" s="344"/>
      <c r="AU32" s="348"/>
      <c r="AV32" s="347"/>
      <c r="AW32" s="344"/>
      <c r="AX32" s="369"/>
      <c r="AY32" s="370"/>
      <c r="AZ32" s="344"/>
      <c r="BA32" s="369"/>
      <c r="BB32" s="370"/>
      <c r="BC32" s="344"/>
      <c r="BD32" s="369"/>
      <c r="BE32" s="347"/>
      <c r="BF32" s="344"/>
      <c r="BG32" s="369"/>
      <c r="BH32" s="347"/>
      <c r="BI32" s="344"/>
      <c r="BJ32" s="369"/>
      <c r="BK32" s="347"/>
      <c r="BL32" s="344"/>
      <c r="BM32" s="369"/>
      <c r="BN32" s="359"/>
      <c r="BO32" s="344"/>
      <c r="BP32" s="369"/>
      <c r="BQ32" s="340"/>
      <c r="BR32" s="344"/>
      <c r="BS32" s="369"/>
      <c r="BT32" s="340"/>
      <c r="BU32" s="344"/>
      <c r="BV32" s="360"/>
      <c r="BW32" s="340"/>
      <c r="BX32" s="344"/>
      <c r="BY32" s="369"/>
      <c r="BZ32" s="340"/>
      <c r="CA32" s="344"/>
      <c r="CB32" s="369"/>
      <c r="CC32" s="340"/>
      <c r="CD32" s="344"/>
      <c r="CE32" s="369"/>
      <c r="CF32" s="340"/>
      <c r="CG32" s="344"/>
      <c r="CH32" s="369"/>
      <c r="CI32" s="340"/>
      <c r="CJ32" s="344"/>
      <c r="CK32" s="369"/>
      <c r="CL32" s="340"/>
      <c r="CM32" s="344"/>
      <c r="CN32" s="368"/>
      <c r="CO32" s="340"/>
      <c r="CP32" s="344"/>
      <c r="CQ32" s="367"/>
      <c r="CR32" s="352"/>
      <c r="CS32" s="354"/>
      <c r="CT32" s="367"/>
      <c r="CU32" s="352"/>
      <c r="CV32" s="354"/>
      <c r="CW32" s="367"/>
      <c r="CX32" s="352"/>
      <c r="CY32" s="354"/>
      <c r="CZ32" s="367"/>
      <c r="DA32" s="352"/>
      <c r="DB32" s="354"/>
      <c r="DC32" s="367"/>
      <c r="DD32" s="352"/>
      <c r="DE32" s="354"/>
      <c r="DF32" s="367"/>
      <c r="DG32" s="352"/>
      <c r="DH32" s="354"/>
      <c r="DI32" s="367"/>
      <c r="DJ32" s="352"/>
      <c r="DK32" s="351"/>
      <c r="DL32" s="367"/>
      <c r="DM32" s="352"/>
      <c r="DN32" s="351"/>
      <c r="DO32" s="367"/>
      <c r="DP32" s="352"/>
      <c r="DQ32" s="351"/>
      <c r="DR32" s="367"/>
      <c r="DS32" s="352"/>
      <c r="DT32" s="351"/>
      <c r="DU32" s="367"/>
      <c r="DV32" s="352"/>
      <c r="DW32" s="351"/>
      <c r="DX32" s="367"/>
      <c r="DY32" s="352"/>
      <c r="DZ32" s="351"/>
      <c r="EA32" s="367"/>
      <c r="EB32" s="352"/>
      <c r="EC32" s="351"/>
      <c r="ED32" s="367"/>
      <c r="EE32" s="352"/>
      <c r="EF32" s="351"/>
      <c r="EG32" s="367"/>
      <c r="EH32" s="352"/>
      <c r="EI32" s="351"/>
      <c r="EJ32" s="367"/>
      <c r="EK32" s="352"/>
      <c r="EL32" s="351"/>
      <c r="EM32" s="367"/>
      <c r="EN32" s="352"/>
      <c r="EO32" s="351"/>
      <c r="EP32" s="367"/>
      <c r="EQ32" s="352"/>
      <c r="ER32" s="351"/>
      <c r="ES32" s="367"/>
      <c r="ET32" s="352"/>
      <c r="EU32" s="351"/>
      <c r="EV32" s="367"/>
      <c r="EW32" s="352"/>
      <c r="EX32" s="351"/>
      <c r="EY32" s="367"/>
      <c r="EZ32" s="352"/>
      <c r="FA32" s="351"/>
      <c r="FB32" s="367"/>
      <c r="FC32" s="352"/>
      <c r="FD32" s="351"/>
      <c r="FE32" s="367"/>
      <c r="FF32" s="352"/>
      <c r="FG32" s="351"/>
      <c r="FH32" s="367"/>
      <c r="FI32" s="352"/>
      <c r="FJ32" s="351"/>
      <c r="FK32" s="367"/>
      <c r="FL32" s="352"/>
      <c r="FM32" s="351"/>
      <c r="FN32" s="367"/>
      <c r="FO32" s="352"/>
      <c r="FP32" s="351"/>
      <c r="FQ32" s="367"/>
      <c r="FR32" s="352"/>
      <c r="FS32" s="351"/>
      <c r="FT32" s="367"/>
      <c r="FU32" s="352"/>
      <c r="FV32" s="351"/>
      <c r="FW32" s="367"/>
      <c r="FX32" s="352"/>
      <c r="FY32" s="351"/>
      <c r="FZ32" s="367">
        <v>34</v>
      </c>
      <c r="GA32" s="352">
        <v>334</v>
      </c>
      <c r="GB32" s="351">
        <v>0.85197561411116496</v>
      </c>
      <c r="GC32" s="367">
        <v>34</v>
      </c>
      <c r="GD32" s="352">
        <v>335</v>
      </c>
      <c r="GE32" s="351">
        <v>0.84614121718045543</v>
      </c>
      <c r="GF32" s="367">
        <v>42</v>
      </c>
      <c r="GG32" s="352">
        <v>445</v>
      </c>
      <c r="GH32" s="351">
        <v>1.3235263500712322</v>
      </c>
      <c r="GI32" s="367">
        <v>42</v>
      </c>
      <c r="GJ32" s="352">
        <v>456</v>
      </c>
      <c r="GK32" s="351">
        <v>1.0437600999812306</v>
      </c>
      <c r="GL32" s="367">
        <v>105</v>
      </c>
      <c r="GM32" s="352">
        <v>1132</v>
      </c>
      <c r="GN32" s="351">
        <v>1.9200694753053964</v>
      </c>
      <c r="GO32" s="367">
        <v>105</v>
      </c>
      <c r="GP32" s="352">
        <v>1117</v>
      </c>
      <c r="GQ32" s="351">
        <v>1.8683038159729104</v>
      </c>
      <c r="GR32" s="367">
        <v>105</v>
      </c>
      <c r="GS32" s="352">
        <v>1150</v>
      </c>
      <c r="GT32" s="351">
        <v>1.6406984524646857</v>
      </c>
      <c r="GU32" s="367">
        <v>105</v>
      </c>
      <c r="GV32" s="352">
        <v>1205</v>
      </c>
      <c r="GW32" s="351">
        <v>1.6749976369327946</v>
      </c>
      <c r="GX32" s="367">
        <v>105</v>
      </c>
      <c r="GY32" s="352">
        <v>1209</v>
      </c>
      <c r="GZ32" s="351">
        <v>1.5572832941758379</v>
      </c>
      <c r="HA32" s="367">
        <v>105</v>
      </c>
      <c r="HB32" s="352">
        <v>1229</v>
      </c>
      <c r="HC32" s="351">
        <v>1.5957961354206363</v>
      </c>
      <c r="HD32" s="367">
        <v>105</v>
      </c>
      <c r="HE32" s="352">
        <v>1257</v>
      </c>
      <c r="HF32" s="351">
        <v>1.6482597877718008</v>
      </c>
      <c r="HG32" s="367">
        <v>127</v>
      </c>
      <c r="HH32" s="352">
        <v>1556</v>
      </c>
      <c r="HI32" s="351">
        <v>2.1264935679036139</v>
      </c>
      <c r="HJ32" s="367">
        <v>127</v>
      </c>
      <c r="HK32" s="352">
        <v>1539</v>
      </c>
      <c r="HL32" s="351">
        <v>2.2835352508698654</v>
      </c>
      <c r="HM32" s="367">
        <v>178</v>
      </c>
      <c r="HN32" s="352">
        <v>2102</v>
      </c>
      <c r="HO32" s="351">
        <v>2.570054463880159</v>
      </c>
      <c r="HP32" s="367">
        <v>178</v>
      </c>
      <c r="HQ32" s="352">
        <v>2209</v>
      </c>
      <c r="HR32" s="351">
        <v>2.5733024241930034</v>
      </c>
      <c r="HS32" s="367">
        <v>186</v>
      </c>
      <c r="HT32" s="352">
        <v>2305</v>
      </c>
      <c r="HU32" s="351">
        <v>2.7481698738584068</v>
      </c>
      <c r="HV32" s="367">
        <v>199</v>
      </c>
      <c r="HW32" s="352">
        <v>2398</v>
      </c>
      <c r="HX32" s="351">
        <v>3.0156713044035972</v>
      </c>
      <c r="HY32" s="367">
        <v>211</v>
      </c>
      <c r="HZ32" s="352">
        <v>2515</v>
      </c>
      <c r="IA32" s="351">
        <v>2.9959539730935933</v>
      </c>
      <c r="IB32" s="367">
        <v>211</v>
      </c>
      <c r="IC32" s="352">
        <v>2650</v>
      </c>
      <c r="ID32" s="351">
        <v>3.0976037405026302</v>
      </c>
      <c r="IE32" s="367">
        <v>198</v>
      </c>
      <c r="IF32" s="352">
        <v>2539</v>
      </c>
      <c r="IG32" s="351">
        <v>2.9709823139376987</v>
      </c>
      <c r="IH32" s="367">
        <v>214</v>
      </c>
      <c r="II32" s="352">
        <v>2661</v>
      </c>
      <c r="IJ32" s="351">
        <v>2.7427334570191713</v>
      </c>
      <c r="IK32" s="367">
        <v>202</v>
      </c>
      <c r="IL32" s="352">
        <v>2568.1799999999998</v>
      </c>
      <c r="IM32" s="351">
        <v>2.6549086989409125</v>
      </c>
      <c r="IN32" s="367">
        <v>201.75</v>
      </c>
      <c r="IO32" s="352">
        <v>2488</v>
      </c>
      <c r="IP32" s="351">
        <v>2.6314024888752381</v>
      </c>
      <c r="IQ32" s="367">
        <v>189.25</v>
      </c>
      <c r="IR32" s="352">
        <v>2311.16</v>
      </c>
      <c r="IS32" s="351">
        <v>2.3794928479105875</v>
      </c>
      <c r="IT32" s="367">
        <v>193</v>
      </c>
      <c r="IU32" s="352">
        <v>2390</v>
      </c>
      <c r="IV32" s="351">
        <v>2.4640953470869031</v>
      </c>
      <c r="IW32" s="367">
        <v>192</v>
      </c>
      <c r="IX32" s="352">
        <v>2380</v>
      </c>
      <c r="IY32" s="351">
        <v>2.4082731265051707</v>
      </c>
      <c r="IZ32" s="367">
        <v>191.8</v>
      </c>
      <c r="JA32" s="352">
        <v>2417</v>
      </c>
      <c r="JB32" s="351">
        <v>2.4463315148632101</v>
      </c>
    </row>
    <row r="33" spans="1:262" x14ac:dyDescent="0.35">
      <c r="A33" s="350"/>
      <c r="B33" s="368"/>
      <c r="C33" s="365"/>
      <c r="D33" s="364"/>
      <c r="E33" s="368"/>
      <c r="F33" s="365"/>
      <c r="G33" s="364"/>
      <c r="H33" s="368"/>
      <c r="I33" s="365"/>
      <c r="J33" s="364"/>
      <c r="K33" s="368"/>
      <c r="L33" s="365"/>
      <c r="M33" s="364"/>
      <c r="N33" s="368"/>
      <c r="O33" s="365"/>
      <c r="P33" s="364"/>
      <c r="Q33" s="369"/>
      <c r="R33" s="347"/>
      <c r="S33" s="361"/>
      <c r="T33" s="369"/>
      <c r="U33" s="347"/>
      <c r="V33" s="364"/>
      <c r="W33" s="369"/>
      <c r="X33" s="347"/>
      <c r="Y33" s="344"/>
      <c r="Z33" s="360"/>
      <c r="AA33" s="347"/>
      <c r="AB33" s="361"/>
      <c r="AC33" s="369"/>
      <c r="AD33" s="347"/>
      <c r="AE33" s="344"/>
      <c r="AF33" s="369"/>
      <c r="AG33" s="370"/>
      <c r="AH33" s="344"/>
      <c r="AI33" s="369"/>
      <c r="AJ33" s="347"/>
      <c r="AK33" s="344"/>
      <c r="AL33" s="369"/>
      <c r="AM33" s="370"/>
      <c r="AN33" s="344"/>
      <c r="AO33" s="369"/>
      <c r="AP33" s="370"/>
      <c r="AQ33" s="344"/>
      <c r="AR33" s="369"/>
      <c r="AS33" s="347"/>
      <c r="AT33" s="344"/>
      <c r="AU33" s="348"/>
      <c r="AV33" s="347"/>
      <c r="AW33" s="344"/>
      <c r="AX33" s="369"/>
      <c r="AY33" s="370"/>
      <c r="AZ33" s="344"/>
      <c r="BA33" s="369"/>
      <c r="BB33" s="370"/>
      <c r="BC33" s="344"/>
      <c r="BD33" s="369"/>
      <c r="BE33" s="347"/>
      <c r="BF33" s="344"/>
      <c r="BG33" s="369"/>
      <c r="BH33" s="347"/>
      <c r="BI33" s="344"/>
      <c r="BJ33" s="369"/>
      <c r="BK33" s="347"/>
      <c r="BL33" s="344"/>
      <c r="BM33" s="369"/>
      <c r="BN33" s="359"/>
      <c r="BO33" s="344"/>
      <c r="BP33" s="369"/>
      <c r="BQ33" s="340"/>
      <c r="BR33" s="344"/>
      <c r="BS33" s="369"/>
      <c r="BT33" s="340"/>
      <c r="BU33" s="344"/>
      <c r="BV33" s="360"/>
      <c r="BW33" s="340"/>
      <c r="BX33" s="344"/>
      <c r="BY33" s="369"/>
      <c r="BZ33" s="340"/>
      <c r="CA33" s="344"/>
      <c r="CB33" s="369"/>
      <c r="CC33" s="340"/>
      <c r="CD33" s="344"/>
      <c r="CE33" s="369"/>
      <c r="CF33" s="340"/>
      <c r="CG33" s="344"/>
      <c r="CH33" s="369"/>
      <c r="CI33" s="340"/>
      <c r="CJ33" s="344"/>
      <c r="CK33" s="369"/>
      <c r="CL33" s="340"/>
      <c r="CM33" s="344"/>
      <c r="CN33" s="368"/>
      <c r="CO33" s="340"/>
      <c r="CP33" s="344"/>
      <c r="CQ33" s="367"/>
      <c r="CR33" s="352"/>
      <c r="CS33" s="354"/>
      <c r="CT33" s="367"/>
      <c r="CU33" s="352"/>
      <c r="CV33" s="354"/>
      <c r="CW33" s="367"/>
      <c r="CX33" s="352"/>
      <c r="CY33" s="354"/>
      <c r="CZ33" s="367"/>
      <c r="DA33" s="352"/>
      <c r="DB33" s="354"/>
      <c r="DC33" s="367"/>
      <c r="DD33" s="352"/>
      <c r="DE33" s="354"/>
      <c r="DF33" s="367"/>
      <c r="DG33" s="352"/>
      <c r="DH33" s="354"/>
      <c r="DI33" s="367"/>
      <c r="DJ33" s="352"/>
      <c r="DK33" s="351"/>
      <c r="DL33" s="367"/>
      <c r="DM33" s="352"/>
      <c r="DN33" s="351"/>
      <c r="DO33" s="367"/>
      <c r="DP33" s="352"/>
      <c r="DQ33" s="351"/>
      <c r="DR33" s="367"/>
      <c r="DS33" s="352"/>
      <c r="DT33" s="351"/>
      <c r="DU33" s="367"/>
      <c r="DV33" s="352"/>
      <c r="DW33" s="351"/>
      <c r="DX33" s="367"/>
      <c r="DY33" s="352"/>
      <c r="DZ33" s="351"/>
      <c r="EA33" s="367"/>
      <c r="EB33" s="352"/>
      <c r="EC33" s="351"/>
      <c r="ED33" s="367"/>
      <c r="EE33" s="352"/>
      <c r="EF33" s="351"/>
      <c r="EG33" s="367"/>
      <c r="EH33" s="352"/>
      <c r="EI33" s="351"/>
      <c r="EJ33" s="367"/>
      <c r="EK33" s="352"/>
      <c r="EL33" s="351"/>
      <c r="EM33" s="367"/>
      <c r="EN33" s="352"/>
      <c r="EO33" s="351"/>
      <c r="EP33" s="367"/>
      <c r="EQ33" s="352"/>
      <c r="ER33" s="351"/>
      <c r="ES33" s="367"/>
      <c r="ET33" s="352"/>
      <c r="EU33" s="351"/>
      <c r="EV33" s="367"/>
      <c r="EW33" s="352"/>
      <c r="EX33" s="351"/>
      <c r="EY33" s="367"/>
      <c r="EZ33" s="352"/>
      <c r="FA33" s="351"/>
      <c r="FB33" s="367"/>
      <c r="FC33" s="352"/>
      <c r="FD33" s="351"/>
      <c r="FE33" s="367"/>
      <c r="FF33" s="352"/>
      <c r="FG33" s="351"/>
      <c r="FH33" s="367"/>
      <c r="FI33" s="352"/>
      <c r="FJ33" s="351"/>
      <c r="FK33" s="367"/>
      <c r="FL33" s="352"/>
      <c r="FM33" s="351"/>
      <c r="FN33" s="367"/>
      <c r="FO33" s="352"/>
      <c r="FP33" s="351"/>
      <c r="FQ33" s="367"/>
      <c r="FR33" s="352"/>
      <c r="FS33" s="351"/>
      <c r="FT33" s="367"/>
      <c r="FU33" s="352"/>
      <c r="FV33" s="351"/>
      <c r="FW33" s="367"/>
      <c r="FX33" s="352"/>
      <c r="FY33" s="351"/>
      <c r="FZ33" s="367"/>
      <c r="GA33" s="352"/>
      <c r="GB33" s="351"/>
      <c r="GC33" s="367"/>
      <c r="GD33" s="352"/>
      <c r="GE33" s="351"/>
      <c r="GF33" s="367"/>
      <c r="GG33" s="352"/>
      <c r="GH33" s="351"/>
      <c r="GI33" s="367"/>
      <c r="GJ33" s="352"/>
      <c r="GK33" s="351"/>
      <c r="GL33" s="367"/>
      <c r="GM33" s="352"/>
      <c r="GN33" s="351"/>
      <c r="GO33" s="367"/>
      <c r="GP33" s="352"/>
      <c r="GQ33" s="351"/>
      <c r="GR33" s="367"/>
      <c r="GS33" s="352"/>
      <c r="GT33" s="351"/>
      <c r="GU33" s="367"/>
      <c r="GV33" s="352"/>
      <c r="GW33" s="351"/>
      <c r="GX33" s="367"/>
      <c r="GY33" s="352"/>
      <c r="GZ33" s="351"/>
      <c r="HA33" s="367"/>
      <c r="HB33" s="352"/>
      <c r="HC33" s="351"/>
      <c r="HD33" s="367"/>
      <c r="HE33" s="352"/>
      <c r="HF33" s="351"/>
      <c r="HG33" s="367"/>
      <c r="HH33" s="352"/>
      <c r="HI33" s="351"/>
      <c r="HJ33" s="367"/>
      <c r="HK33" s="352"/>
      <c r="HL33" s="351"/>
      <c r="HM33" s="367"/>
      <c r="HN33" s="352"/>
      <c r="HO33" s="351"/>
      <c r="HP33" s="367"/>
      <c r="HQ33" s="352"/>
      <c r="HR33" s="351"/>
      <c r="HS33" s="367"/>
      <c r="HT33" s="352"/>
      <c r="HU33" s="351"/>
      <c r="HV33" s="367"/>
      <c r="HW33" s="352"/>
      <c r="HX33" s="351"/>
      <c r="HY33" s="367"/>
      <c r="HZ33" s="352"/>
      <c r="IA33" s="351"/>
      <c r="IB33" s="367"/>
      <c r="IC33" s="352"/>
      <c r="ID33" s="351"/>
      <c r="IE33" s="367"/>
      <c r="IF33" s="352"/>
      <c r="IG33" s="351"/>
      <c r="IH33" s="367"/>
      <c r="II33" s="352"/>
      <c r="IJ33" s="351"/>
      <c r="IK33" s="367"/>
      <c r="IL33" s="352"/>
      <c r="IM33" s="351"/>
      <c r="IN33" s="367"/>
      <c r="IO33" s="352"/>
      <c r="IP33" s="351"/>
      <c r="IQ33" s="367"/>
      <c r="IR33" s="352"/>
      <c r="IS33" s="351"/>
      <c r="IT33" s="367"/>
      <c r="IU33" s="352"/>
      <c r="IV33" s="351"/>
      <c r="IW33" s="367"/>
      <c r="IX33" s="352"/>
      <c r="IY33" s="351"/>
      <c r="IZ33" s="367"/>
      <c r="JA33" s="352"/>
      <c r="JB33" s="351"/>
    </row>
    <row r="34" spans="1:262" x14ac:dyDescent="0.35">
      <c r="A34" s="350" t="s">
        <v>478</v>
      </c>
      <c r="B34" s="368"/>
      <c r="C34" s="365"/>
      <c r="D34" s="364"/>
      <c r="E34" s="368"/>
      <c r="F34" s="365"/>
      <c r="G34" s="364"/>
      <c r="H34" s="368"/>
      <c r="I34" s="365"/>
      <c r="J34" s="364"/>
      <c r="K34" s="368"/>
      <c r="L34" s="365"/>
      <c r="M34" s="364"/>
      <c r="N34" s="368"/>
      <c r="O34" s="365"/>
      <c r="P34" s="364"/>
      <c r="Q34" s="369"/>
      <c r="R34" s="347"/>
      <c r="S34" s="361"/>
      <c r="T34" s="369"/>
      <c r="U34" s="347"/>
      <c r="V34" s="364"/>
      <c r="W34" s="369"/>
      <c r="X34" s="347"/>
      <c r="Y34" s="344"/>
      <c r="Z34" s="360"/>
      <c r="AA34" s="347"/>
      <c r="AB34" s="361"/>
      <c r="AC34" s="369"/>
      <c r="AD34" s="347"/>
      <c r="AE34" s="344"/>
      <c r="AF34" s="369"/>
      <c r="AG34" s="370"/>
      <c r="AH34" s="344"/>
      <c r="AI34" s="369"/>
      <c r="AJ34" s="347"/>
      <c r="AK34" s="344"/>
      <c r="AL34" s="369"/>
      <c r="AM34" s="370"/>
      <c r="AN34" s="344"/>
      <c r="AO34" s="369"/>
      <c r="AP34" s="370"/>
      <c r="AQ34" s="344"/>
      <c r="AR34" s="369"/>
      <c r="AS34" s="347"/>
      <c r="AT34" s="344"/>
      <c r="AU34" s="348"/>
      <c r="AV34" s="347"/>
      <c r="AW34" s="344"/>
      <c r="AX34" s="369"/>
      <c r="AY34" s="370"/>
      <c r="AZ34" s="344"/>
      <c r="BA34" s="369"/>
      <c r="BB34" s="370"/>
      <c r="BC34" s="344"/>
      <c r="BD34" s="369"/>
      <c r="BE34" s="347"/>
      <c r="BF34" s="344"/>
      <c r="BG34" s="369"/>
      <c r="BH34" s="347"/>
      <c r="BI34" s="344"/>
      <c r="BJ34" s="369"/>
      <c r="BK34" s="347"/>
      <c r="BL34" s="344"/>
      <c r="BM34" s="369"/>
      <c r="BN34" s="359"/>
      <c r="BO34" s="344"/>
      <c r="BP34" s="369"/>
      <c r="BQ34" s="340"/>
      <c r="BR34" s="344"/>
      <c r="BS34" s="369"/>
      <c r="BT34" s="340"/>
      <c r="BU34" s="344"/>
      <c r="BV34" s="360"/>
      <c r="BW34" s="340"/>
      <c r="BX34" s="344"/>
      <c r="BY34" s="369"/>
      <c r="BZ34" s="340"/>
      <c r="CA34" s="344"/>
      <c r="CB34" s="369"/>
      <c r="CC34" s="340"/>
      <c r="CD34" s="344"/>
      <c r="CE34" s="369"/>
      <c r="CF34" s="340"/>
      <c r="CG34" s="344"/>
      <c r="CH34" s="369"/>
      <c r="CI34" s="340"/>
      <c r="CJ34" s="344"/>
      <c r="CK34" s="369"/>
      <c r="CL34" s="340"/>
      <c r="CM34" s="344"/>
      <c r="CN34" s="368"/>
      <c r="CO34" s="340"/>
      <c r="CP34" s="344"/>
      <c r="CQ34" s="367"/>
      <c r="CR34" s="352"/>
      <c r="CS34" s="354"/>
      <c r="CT34" s="367"/>
      <c r="CU34" s="352"/>
      <c r="CV34" s="354"/>
      <c r="CW34" s="367"/>
      <c r="CX34" s="352"/>
      <c r="CY34" s="354"/>
      <c r="CZ34" s="367"/>
      <c r="DA34" s="352"/>
      <c r="DB34" s="354"/>
      <c r="DC34" s="367"/>
      <c r="DD34" s="352"/>
      <c r="DE34" s="354"/>
      <c r="DF34" s="367"/>
      <c r="DG34" s="352"/>
      <c r="DH34" s="354"/>
      <c r="DI34" s="367"/>
      <c r="DJ34" s="352"/>
      <c r="DK34" s="351"/>
      <c r="DL34" s="367"/>
      <c r="DM34" s="352"/>
      <c r="DN34" s="351"/>
      <c r="DO34" s="367"/>
      <c r="DP34" s="352"/>
      <c r="DQ34" s="351"/>
      <c r="DR34" s="367"/>
      <c r="DS34" s="352"/>
      <c r="DT34" s="351"/>
      <c r="DU34" s="367"/>
      <c r="DV34" s="352"/>
      <c r="DW34" s="351"/>
      <c r="DX34" s="367"/>
      <c r="DY34" s="352"/>
      <c r="DZ34" s="351"/>
      <c r="EA34" s="367"/>
      <c r="EB34" s="352"/>
      <c r="EC34" s="351"/>
      <c r="ED34" s="367"/>
      <c r="EE34" s="352"/>
      <c r="EF34" s="351"/>
      <c r="EG34" s="367"/>
      <c r="EH34" s="352"/>
      <c r="EI34" s="351"/>
      <c r="EJ34" s="367"/>
      <c r="EK34" s="352"/>
      <c r="EL34" s="351"/>
      <c r="EM34" s="367"/>
      <c r="EN34" s="352"/>
      <c r="EO34" s="351"/>
      <c r="EP34" s="367"/>
      <c r="EQ34" s="352"/>
      <c r="ER34" s="351"/>
      <c r="ES34" s="367"/>
      <c r="ET34" s="352"/>
      <c r="EU34" s="351"/>
      <c r="EV34" s="367"/>
      <c r="EW34" s="352"/>
      <c r="EX34" s="351"/>
      <c r="EY34" s="367"/>
      <c r="EZ34" s="352"/>
      <c r="FA34" s="351"/>
      <c r="FB34" s="367"/>
      <c r="FC34" s="352"/>
      <c r="FD34" s="351"/>
      <c r="FE34" s="367"/>
      <c r="FF34" s="352"/>
      <c r="FG34" s="351"/>
      <c r="FH34" s="367"/>
      <c r="FI34" s="352"/>
      <c r="FJ34" s="351"/>
      <c r="FK34" s="367"/>
      <c r="FL34" s="352"/>
      <c r="FM34" s="351"/>
      <c r="FN34" s="367"/>
      <c r="FO34" s="352"/>
      <c r="FP34" s="351"/>
      <c r="FQ34" s="367"/>
      <c r="FR34" s="352"/>
      <c r="FS34" s="351"/>
      <c r="FT34" s="367"/>
      <c r="FU34" s="352"/>
      <c r="FV34" s="351"/>
      <c r="FW34" s="367"/>
      <c r="FX34" s="352"/>
      <c r="FY34" s="351"/>
      <c r="FZ34" s="367"/>
      <c r="GA34" s="352"/>
      <c r="GB34" s="351"/>
      <c r="GC34" s="367"/>
      <c r="GD34" s="352"/>
      <c r="GE34" s="351"/>
      <c r="GF34" s="367"/>
      <c r="GG34" s="352"/>
      <c r="GH34" s="351"/>
      <c r="GI34" s="367"/>
      <c r="GJ34" s="352"/>
      <c r="GK34" s="351"/>
      <c r="GL34" s="367"/>
      <c r="GM34" s="352"/>
      <c r="GN34" s="351"/>
      <c r="GO34" s="367"/>
      <c r="GP34" s="352"/>
      <c r="GQ34" s="351"/>
      <c r="GR34" s="367"/>
      <c r="GS34" s="352"/>
      <c r="GT34" s="351"/>
      <c r="GU34" s="367"/>
      <c r="GV34" s="352"/>
      <c r="GW34" s="351"/>
      <c r="GX34" s="372">
        <v>0</v>
      </c>
      <c r="GY34" s="371">
        <v>0</v>
      </c>
      <c r="GZ34" s="351">
        <v>0</v>
      </c>
      <c r="HA34" s="372">
        <v>0</v>
      </c>
      <c r="HB34" s="371">
        <v>0</v>
      </c>
      <c r="HC34" s="351">
        <v>0</v>
      </c>
      <c r="HD34" s="372">
        <v>0</v>
      </c>
      <c r="HE34" s="371">
        <v>0</v>
      </c>
      <c r="HF34" s="351">
        <v>0</v>
      </c>
      <c r="HG34" s="372">
        <v>0</v>
      </c>
      <c r="HH34" s="371">
        <v>0</v>
      </c>
      <c r="HI34" s="351">
        <v>0</v>
      </c>
      <c r="HJ34" s="372">
        <v>0</v>
      </c>
      <c r="HK34" s="371">
        <v>0</v>
      </c>
      <c r="HL34" s="351">
        <v>0</v>
      </c>
      <c r="HM34" s="367">
        <v>1</v>
      </c>
      <c r="HN34" s="352">
        <v>179</v>
      </c>
      <c r="HO34" s="351">
        <v>0.21885811086324855</v>
      </c>
      <c r="HP34" s="367">
        <v>2</v>
      </c>
      <c r="HQ34" s="352">
        <v>272</v>
      </c>
      <c r="HR34" s="351">
        <v>0.31685751895902986</v>
      </c>
      <c r="HS34" s="367">
        <v>2</v>
      </c>
      <c r="HT34" s="352">
        <v>270</v>
      </c>
      <c r="HU34" s="351">
        <v>0.3219114385864511</v>
      </c>
      <c r="HV34" s="367">
        <v>2</v>
      </c>
      <c r="HW34" s="352">
        <v>338</v>
      </c>
      <c r="HX34" s="351">
        <v>0.425061259753301</v>
      </c>
      <c r="HY34" s="367">
        <v>3</v>
      </c>
      <c r="HZ34" s="352">
        <v>418</v>
      </c>
      <c r="IA34" s="351">
        <v>0.49793588896744412</v>
      </c>
      <c r="IB34" s="367">
        <v>3</v>
      </c>
      <c r="IC34" s="352">
        <v>441</v>
      </c>
      <c r="ID34" s="351">
        <v>0.51548801870251315</v>
      </c>
      <c r="IE34" s="367">
        <v>3</v>
      </c>
      <c r="IF34" s="352">
        <v>450</v>
      </c>
      <c r="IG34" s="351">
        <v>0.52656244240723282</v>
      </c>
      <c r="IH34" s="367">
        <v>4</v>
      </c>
      <c r="II34" s="352">
        <v>543</v>
      </c>
      <c r="IJ34" s="351">
        <v>0.55967841682127395</v>
      </c>
      <c r="IK34" s="367">
        <v>4</v>
      </c>
      <c r="IL34" s="352">
        <v>552.37</v>
      </c>
      <c r="IM34" s="351">
        <v>0.57102380597699232</v>
      </c>
      <c r="IN34" s="367">
        <v>3.56</v>
      </c>
      <c r="IO34" s="352">
        <v>534</v>
      </c>
      <c r="IP34" s="351">
        <v>0.56477850846437994</v>
      </c>
      <c r="IQ34" s="367">
        <v>3.56</v>
      </c>
      <c r="IR34" s="352">
        <v>533.64</v>
      </c>
      <c r="IS34" s="351">
        <v>0.54941785222961892</v>
      </c>
      <c r="IT34" s="367">
        <v>4</v>
      </c>
      <c r="IU34" s="352">
        <v>539</v>
      </c>
      <c r="IV34" s="351">
        <v>0.55571020589114684</v>
      </c>
      <c r="IW34" s="367">
        <v>4</v>
      </c>
      <c r="IX34" s="352">
        <v>604</v>
      </c>
      <c r="IY34" s="351">
        <v>0.61117519681055599</v>
      </c>
      <c r="IZ34" s="367">
        <v>3.99</v>
      </c>
      <c r="JA34" s="352">
        <v>615</v>
      </c>
      <c r="JB34" s="351">
        <v>0.62246333539134224</v>
      </c>
    </row>
    <row r="35" spans="1:262" x14ac:dyDescent="0.35">
      <c r="A35" s="350"/>
      <c r="B35" s="368"/>
      <c r="C35" s="365"/>
      <c r="D35" s="364"/>
      <c r="E35" s="368"/>
      <c r="F35" s="365"/>
      <c r="G35" s="364"/>
      <c r="H35" s="368"/>
      <c r="I35" s="365"/>
      <c r="J35" s="364"/>
      <c r="K35" s="368"/>
      <c r="L35" s="365"/>
      <c r="M35" s="364"/>
      <c r="N35" s="368"/>
      <c r="O35" s="365"/>
      <c r="P35" s="364"/>
      <c r="Q35" s="369"/>
      <c r="R35" s="347"/>
      <c r="S35" s="361"/>
      <c r="T35" s="369"/>
      <c r="U35" s="347"/>
      <c r="V35" s="364"/>
      <c r="W35" s="369"/>
      <c r="X35" s="347"/>
      <c r="Y35" s="344"/>
      <c r="Z35" s="360"/>
      <c r="AA35" s="347"/>
      <c r="AB35" s="361"/>
      <c r="AC35" s="369"/>
      <c r="AD35" s="347"/>
      <c r="AE35" s="344"/>
      <c r="AF35" s="369"/>
      <c r="AG35" s="370"/>
      <c r="AH35" s="344"/>
      <c r="AI35" s="369"/>
      <c r="AJ35" s="347"/>
      <c r="AK35" s="344"/>
      <c r="AL35" s="369"/>
      <c r="AM35" s="370"/>
      <c r="AN35" s="344"/>
      <c r="AO35" s="369"/>
      <c r="AP35" s="370"/>
      <c r="AQ35" s="344"/>
      <c r="AR35" s="369"/>
      <c r="AS35" s="347"/>
      <c r="AT35" s="344"/>
      <c r="AU35" s="348"/>
      <c r="AV35" s="347"/>
      <c r="AW35" s="344"/>
      <c r="AX35" s="369"/>
      <c r="AY35" s="370"/>
      <c r="AZ35" s="344"/>
      <c r="BA35" s="369"/>
      <c r="BB35" s="370"/>
      <c r="BC35" s="344"/>
      <c r="BD35" s="369"/>
      <c r="BE35" s="347"/>
      <c r="BF35" s="344"/>
      <c r="BG35" s="369"/>
      <c r="BH35" s="347"/>
      <c r="BI35" s="344"/>
      <c r="BJ35" s="369"/>
      <c r="BK35" s="347"/>
      <c r="BL35" s="344"/>
      <c r="BM35" s="369"/>
      <c r="BN35" s="359"/>
      <c r="BO35" s="344"/>
      <c r="BP35" s="369"/>
      <c r="BQ35" s="340"/>
      <c r="BR35" s="344"/>
      <c r="BS35" s="369"/>
      <c r="BT35" s="340"/>
      <c r="BU35" s="344"/>
      <c r="BV35" s="360"/>
      <c r="BW35" s="340"/>
      <c r="BX35" s="344"/>
      <c r="BY35" s="369"/>
      <c r="BZ35" s="340"/>
      <c r="CA35" s="344"/>
      <c r="CB35" s="369"/>
      <c r="CC35" s="340"/>
      <c r="CD35" s="344"/>
      <c r="CE35" s="369"/>
      <c r="CF35" s="340"/>
      <c r="CG35" s="344"/>
      <c r="CH35" s="369"/>
      <c r="CI35" s="340"/>
      <c r="CJ35" s="344"/>
      <c r="CK35" s="369"/>
      <c r="CL35" s="340"/>
      <c r="CM35" s="344"/>
      <c r="CN35" s="368"/>
      <c r="CO35" s="340"/>
      <c r="CP35" s="344"/>
      <c r="CQ35" s="367"/>
      <c r="CR35" s="352"/>
      <c r="CS35" s="354"/>
      <c r="CT35" s="367"/>
      <c r="CU35" s="352"/>
      <c r="CV35" s="354"/>
      <c r="CW35" s="367"/>
      <c r="CX35" s="352"/>
      <c r="CY35" s="354"/>
      <c r="CZ35" s="367"/>
      <c r="DA35" s="352"/>
      <c r="DB35" s="354"/>
      <c r="DC35" s="367"/>
      <c r="DD35" s="352"/>
      <c r="DE35" s="354"/>
      <c r="DF35" s="367"/>
      <c r="DG35" s="352"/>
      <c r="DH35" s="354"/>
      <c r="DI35" s="367"/>
      <c r="DJ35" s="352"/>
      <c r="DK35" s="351"/>
      <c r="DL35" s="367"/>
      <c r="DM35" s="352"/>
      <c r="DN35" s="351"/>
      <c r="DO35" s="367"/>
      <c r="DP35" s="352"/>
      <c r="DQ35" s="351"/>
      <c r="DR35" s="367"/>
      <c r="DS35" s="352"/>
      <c r="DT35" s="351"/>
      <c r="DU35" s="367"/>
      <c r="DV35" s="352"/>
      <c r="DW35" s="351"/>
      <c r="DX35" s="367"/>
      <c r="DY35" s="352"/>
      <c r="DZ35" s="351"/>
      <c r="EA35" s="367"/>
      <c r="EB35" s="352"/>
      <c r="EC35" s="351"/>
      <c r="ED35" s="367"/>
      <c r="EE35" s="352"/>
      <c r="EF35" s="351"/>
      <c r="EG35" s="367"/>
      <c r="EH35" s="352"/>
      <c r="EI35" s="351"/>
      <c r="EJ35" s="367"/>
      <c r="EK35" s="352"/>
      <c r="EL35" s="351"/>
      <c r="EM35" s="367"/>
      <c r="EN35" s="352"/>
      <c r="EO35" s="351"/>
      <c r="EP35" s="367"/>
      <c r="EQ35" s="352"/>
      <c r="ER35" s="351"/>
      <c r="ES35" s="367"/>
      <c r="ET35" s="352"/>
      <c r="EU35" s="351"/>
      <c r="EV35" s="367"/>
      <c r="EW35" s="352"/>
      <c r="EX35" s="351"/>
      <c r="EY35" s="367"/>
      <c r="EZ35" s="352"/>
      <c r="FA35" s="351"/>
      <c r="FB35" s="367"/>
      <c r="FC35" s="352"/>
      <c r="FD35" s="351"/>
      <c r="FE35" s="367"/>
      <c r="FF35" s="352"/>
      <c r="FG35" s="351"/>
      <c r="FH35" s="367"/>
      <c r="FI35" s="352"/>
      <c r="FJ35" s="351"/>
      <c r="FK35" s="367"/>
      <c r="FL35" s="352"/>
      <c r="FM35" s="351"/>
      <c r="FN35" s="367"/>
      <c r="FO35" s="352"/>
      <c r="FP35" s="351"/>
      <c r="FQ35" s="367"/>
      <c r="FR35" s="352"/>
      <c r="FS35" s="351"/>
      <c r="FT35" s="367"/>
      <c r="FU35" s="352"/>
      <c r="FV35" s="351"/>
      <c r="FW35" s="367"/>
      <c r="FX35" s="352"/>
      <c r="FY35" s="351"/>
      <c r="FZ35" s="367"/>
      <c r="GA35" s="352"/>
      <c r="GB35" s="351"/>
      <c r="GC35" s="367"/>
      <c r="GD35" s="352"/>
      <c r="GE35" s="351"/>
      <c r="GF35" s="367"/>
      <c r="GG35" s="352"/>
      <c r="GH35" s="351"/>
      <c r="GI35" s="367"/>
      <c r="GJ35" s="352"/>
      <c r="GK35" s="351"/>
      <c r="GL35" s="367"/>
      <c r="GM35" s="352"/>
      <c r="GN35" s="351"/>
      <c r="GO35" s="367"/>
      <c r="GP35" s="352"/>
      <c r="GQ35" s="351"/>
      <c r="GR35" s="367"/>
      <c r="GS35" s="352"/>
      <c r="GT35" s="351"/>
      <c r="GU35" s="367"/>
      <c r="GV35" s="352"/>
      <c r="GW35" s="351"/>
      <c r="GX35" s="367"/>
      <c r="GY35" s="352"/>
      <c r="GZ35" s="351"/>
      <c r="HA35" s="367"/>
      <c r="HB35" s="352"/>
      <c r="HC35" s="351"/>
      <c r="HD35" s="367"/>
      <c r="HE35" s="352"/>
      <c r="HF35" s="351"/>
      <c r="HG35" s="367"/>
      <c r="HH35" s="352"/>
      <c r="HI35" s="351"/>
      <c r="HJ35" s="367"/>
      <c r="HK35" s="352"/>
      <c r="HL35" s="351"/>
      <c r="HM35" s="367"/>
      <c r="HN35" s="352"/>
      <c r="HO35" s="351"/>
      <c r="HP35" s="367"/>
      <c r="HQ35" s="352"/>
      <c r="HR35" s="351"/>
      <c r="HS35" s="367"/>
      <c r="HT35" s="352"/>
      <c r="HU35" s="351"/>
      <c r="HV35" s="367"/>
      <c r="HW35" s="352"/>
      <c r="HX35" s="351"/>
      <c r="HY35" s="367"/>
      <c r="HZ35" s="352"/>
      <c r="IA35" s="351"/>
      <c r="IB35" s="367"/>
      <c r="IC35" s="352"/>
      <c r="ID35" s="351"/>
      <c r="IE35" s="367"/>
      <c r="IF35" s="352"/>
      <c r="IG35" s="351"/>
      <c r="IH35" s="367"/>
      <c r="II35" s="352"/>
      <c r="IJ35" s="351"/>
      <c r="IK35" s="367"/>
      <c r="IL35" s="352"/>
      <c r="IM35" s="351"/>
      <c r="IN35" s="367"/>
      <c r="IO35" s="352"/>
      <c r="IP35" s="351"/>
      <c r="IQ35" s="367"/>
      <c r="IR35" s="352"/>
      <c r="IS35" s="351"/>
      <c r="IT35" s="367"/>
      <c r="IU35" s="352"/>
      <c r="IV35" s="351"/>
      <c r="IW35" s="367"/>
      <c r="IX35" s="352"/>
      <c r="IY35" s="351"/>
      <c r="IZ35" s="367"/>
      <c r="JA35" s="352"/>
      <c r="JB35" s="351"/>
    </row>
    <row r="36" spans="1:262" ht="16.5" x14ac:dyDescent="0.35">
      <c r="A36" s="366" t="s">
        <v>477</v>
      </c>
      <c r="B36" s="363" t="s">
        <v>368</v>
      </c>
      <c r="C36" s="365">
        <v>447.2</v>
      </c>
      <c r="D36" s="364">
        <v>6.0092180760289704</v>
      </c>
      <c r="E36" s="363" t="s">
        <v>368</v>
      </c>
      <c r="F36" s="365">
        <v>323.2</v>
      </c>
      <c r="G36" s="364">
        <v>3.6790401712028595</v>
      </c>
      <c r="H36" s="363" t="s">
        <v>368</v>
      </c>
      <c r="I36" s="365">
        <v>514.9</v>
      </c>
      <c r="J36" s="364">
        <v>5.8176846767450803</v>
      </c>
      <c r="K36" s="363" t="s">
        <v>368</v>
      </c>
      <c r="L36" s="365">
        <v>526.9</v>
      </c>
      <c r="M36" s="364">
        <v>5.4275943056099223</v>
      </c>
      <c r="N36" s="363" t="s">
        <v>368</v>
      </c>
      <c r="O36" s="365">
        <v>515.1</v>
      </c>
      <c r="P36" s="364">
        <v>5.7491405866333318</v>
      </c>
      <c r="Q36" s="363" t="s">
        <v>368</v>
      </c>
      <c r="R36" s="347">
        <v>127527</v>
      </c>
      <c r="S36" s="361">
        <v>1.4024580819799088</v>
      </c>
      <c r="T36" s="363" t="s">
        <v>368</v>
      </c>
      <c r="U36" s="347">
        <v>317690</v>
      </c>
      <c r="V36" s="364">
        <v>3.4132571341146076</v>
      </c>
      <c r="W36" s="363" t="s">
        <v>368</v>
      </c>
      <c r="X36" s="347">
        <v>352290</v>
      </c>
      <c r="Y36" s="344">
        <v>3.556261028659057</v>
      </c>
      <c r="Z36" s="362" t="s">
        <v>368</v>
      </c>
      <c r="AA36" s="347">
        <v>21853</v>
      </c>
      <c r="AB36" s="361">
        <v>0.23055583865543525</v>
      </c>
      <c r="AC36" s="357" t="s">
        <v>368</v>
      </c>
      <c r="AD36" s="347">
        <v>8584.5400000000009</v>
      </c>
      <c r="AE36" s="344">
        <v>9.2750867250194907E-2</v>
      </c>
      <c r="AF36" s="357" t="s">
        <v>368</v>
      </c>
      <c r="AG36" s="360">
        <v>1516</v>
      </c>
      <c r="AH36" s="344">
        <v>1.5545863571910288E-2</v>
      </c>
      <c r="AI36" s="357" t="s">
        <v>368</v>
      </c>
      <c r="AJ36" s="347">
        <v>3079747.6</v>
      </c>
      <c r="AK36" s="344">
        <v>21.677966075432455</v>
      </c>
      <c r="AL36" s="357" t="s">
        <v>368</v>
      </c>
      <c r="AM36" s="360">
        <v>4718948</v>
      </c>
      <c r="AN36" s="344">
        <v>0.90800833581423046</v>
      </c>
      <c r="AO36" s="357" t="s">
        <v>368</v>
      </c>
      <c r="AP36" s="360">
        <v>3634079</v>
      </c>
      <c r="AQ36" s="344">
        <v>25.917899101116337</v>
      </c>
      <c r="AR36" s="357" t="s">
        <v>368</v>
      </c>
      <c r="AS36" s="347">
        <v>2394179.1800000002</v>
      </c>
      <c r="AT36" s="344">
        <v>19.48279789886843</v>
      </c>
      <c r="AU36" s="357" t="s">
        <v>368</v>
      </c>
      <c r="AV36" s="347">
        <v>1216079</v>
      </c>
      <c r="AW36" s="344">
        <v>9.246151539445048</v>
      </c>
      <c r="AX36" s="357" t="s">
        <v>368</v>
      </c>
      <c r="AY36" s="360">
        <v>843211</v>
      </c>
      <c r="AZ36" s="344">
        <v>6.607429390092542</v>
      </c>
      <c r="BA36" s="357" t="s">
        <v>368</v>
      </c>
      <c r="BB36" s="360">
        <v>295042</v>
      </c>
      <c r="BC36" s="344">
        <v>2.1884088252862162</v>
      </c>
      <c r="BD36" s="357" t="s">
        <v>368</v>
      </c>
      <c r="BE36" s="347">
        <v>55100</v>
      </c>
      <c r="BF36" s="344">
        <v>0.3913629117514279</v>
      </c>
      <c r="BG36" s="357" t="s">
        <v>368</v>
      </c>
      <c r="BH36" s="347">
        <v>75100</v>
      </c>
      <c r="BI36" s="344">
        <v>0.90800833581423046</v>
      </c>
      <c r="BJ36" s="357" t="s">
        <v>368</v>
      </c>
      <c r="BK36" s="347">
        <v>577600</v>
      </c>
      <c r="BL36" s="344">
        <v>2.5946879155554865</v>
      </c>
      <c r="BM36" s="357" t="s">
        <v>368</v>
      </c>
      <c r="BN36" s="359">
        <v>267.5</v>
      </c>
      <c r="BO36" s="344">
        <v>1.2374348322871034</v>
      </c>
      <c r="BP36" s="357" t="s">
        <v>368</v>
      </c>
      <c r="BQ36" s="340">
        <v>60.4</v>
      </c>
      <c r="BR36" s="344">
        <v>0.2873918711875374</v>
      </c>
      <c r="BS36" s="357" t="s">
        <v>368</v>
      </c>
      <c r="BT36" s="340">
        <v>29.8</v>
      </c>
      <c r="BU36" s="344">
        <v>0.13913725563435853</v>
      </c>
      <c r="BV36" s="358" t="s">
        <v>368</v>
      </c>
      <c r="BW36" s="340">
        <v>51.3</v>
      </c>
      <c r="BX36" s="344">
        <v>0.21091495152656378</v>
      </c>
      <c r="BY36" s="357" t="s">
        <v>368</v>
      </c>
      <c r="BZ36" s="340">
        <v>106</v>
      </c>
      <c r="CA36" s="344">
        <v>0.39564491988190376</v>
      </c>
      <c r="CB36" s="357" t="s">
        <v>368</v>
      </c>
      <c r="CC36" s="340">
        <v>88</v>
      </c>
      <c r="CD36" s="344">
        <v>0.29997272975184075</v>
      </c>
      <c r="CE36" s="357" t="s">
        <v>368</v>
      </c>
      <c r="CF36" s="340">
        <v>22</v>
      </c>
      <c r="CG36" s="344">
        <v>7.3934668638257831E-2</v>
      </c>
      <c r="CH36" s="357"/>
      <c r="CI36" s="340">
        <v>75</v>
      </c>
      <c r="CJ36" s="344">
        <v>0.24244853625737042</v>
      </c>
      <c r="CK36" s="356">
        <v>0</v>
      </c>
      <c r="CL36" s="340">
        <v>285</v>
      </c>
      <c r="CM36" s="344">
        <v>0.90905611268468178</v>
      </c>
      <c r="CN36" s="355">
        <v>0</v>
      </c>
      <c r="CO36" s="340">
        <v>343</v>
      </c>
      <c r="CP36" s="344">
        <v>1.0957066189624329</v>
      </c>
      <c r="CQ36" s="353">
        <v>0</v>
      </c>
      <c r="CR36" s="352">
        <v>846</v>
      </c>
      <c r="CS36" s="354">
        <v>2.4676233811690587</v>
      </c>
      <c r="CT36" s="353">
        <v>0</v>
      </c>
      <c r="CU36" s="352">
        <v>412</v>
      </c>
      <c r="CV36" s="354">
        <v>1.1677342554276968</v>
      </c>
      <c r="CW36" s="353">
        <v>0</v>
      </c>
      <c r="CX36" s="352">
        <v>241</v>
      </c>
      <c r="CY36" s="354">
        <v>0.67043146855092217</v>
      </c>
      <c r="CZ36" s="353">
        <v>0</v>
      </c>
      <c r="DA36" s="352">
        <v>61</v>
      </c>
      <c r="DB36" s="354">
        <v>0.16328060172916833</v>
      </c>
      <c r="DC36" s="353">
        <v>0</v>
      </c>
      <c r="DD36" s="352">
        <v>157</v>
      </c>
      <c r="DE36" s="354">
        <v>0.36915118739713143</v>
      </c>
      <c r="DF36" s="353">
        <v>0</v>
      </c>
      <c r="DG36" s="352">
        <v>210</v>
      </c>
      <c r="DH36" s="354">
        <v>0.46019328117809477</v>
      </c>
      <c r="DI36" s="353"/>
      <c r="DJ36" s="352">
        <v>427</v>
      </c>
      <c r="DK36" s="351">
        <v>0.90538993257283407</v>
      </c>
      <c r="DL36" s="353"/>
      <c r="DM36" s="352">
        <v>465</v>
      </c>
      <c r="DN36" s="351">
        <v>0.95357230743991472</v>
      </c>
      <c r="DO36" s="353"/>
      <c r="DP36" s="352">
        <v>418</v>
      </c>
      <c r="DQ36" s="351">
        <v>0.81234452736318408</v>
      </c>
      <c r="DR36" s="353"/>
      <c r="DS36" s="352">
        <v>356</v>
      </c>
      <c r="DT36" s="351">
        <v>0.69394358784429155</v>
      </c>
      <c r="DU36" s="353"/>
      <c r="DV36" s="352">
        <v>234</v>
      </c>
      <c r="DW36" s="351">
        <v>0.45499620836493032</v>
      </c>
      <c r="DX36" s="353"/>
      <c r="DY36" s="352">
        <v>83</v>
      </c>
      <c r="DZ36" s="351">
        <v>0.14820369973573316</v>
      </c>
      <c r="EA36" s="353"/>
      <c r="EB36" s="352">
        <v>47</v>
      </c>
      <c r="EC36" s="351">
        <v>8.5905942132295146E-2</v>
      </c>
      <c r="ED36" s="353"/>
      <c r="EE36" s="352">
        <v>54</v>
      </c>
      <c r="EF36" s="351">
        <v>9.898812142542894E-2</v>
      </c>
      <c r="EG36" s="353"/>
      <c r="EH36" s="352">
        <v>185</v>
      </c>
      <c r="EI36" s="351">
        <v>0.33835686590094372</v>
      </c>
      <c r="EJ36" s="353"/>
      <c r="EK36" s="352">
        <v>186</v>
      </c>
      <c r="EL36" s="351">
        <v>0.34429142603287433</v>
      </c>
      <c r="EM36" s="353"/>
      <c r="EN36" s="352">
        <v>188</v>
      </c>
      <c r="EO36" s="351">
        <v>0.3516384857100105</v>
      </c>
      <c r="EP36" s="353"/>
      <c r="EQ36" s="352">
        <v>195</v>
      </c>
      <c r="ER36" s="351">
        <v>0.36720397710153657</v>
      </c>
      <c r="ES36" s="353"/>
      <c r="ET36" s="352">
        <v>92</v>
      </c>
      <c r="EU36" s="351">
        <v>0.17816681836667506</v>
      </c>
      <c r="EV36" s="353"/>
      <c r="EW36" s="352">
        <v>194</v>
      </c>
      <c r="EX36" s="351">
        <v>0.42079691126390906</v>
      </c>
      <c r="EY36" s="353"/>
      <c r="EZ36" s="352">
        <v>348.09999999999997</v>
      </c>
      <c r="FA36" s="351">
        <v>0.7529563432408054</v>
      </c>
      <c r="FB36" s="353"/>
      <c r="FC36" s="352">
        <v>307.7</v>
      </c>
      <c r="FD36" s="351">
        <v>0.68355448331322877</v>
      </c>
      <c r="FE36" s="353"/>
      <c r="FF36" s="352">
        <v>281</v>
      </c>
      <c r="FG36" s="351">
        <v>0.62267742428707873</v>
      </c>
      <c r="FH36" s="353"/>
      <c r="FI36" s="352">
        <v>286</v>
      </c>
      <c r="FJ36" s="351">
        <v>0.64206178160919547</v>
      </c>
      <c r="FK36" s="353"/>
      <c r="FL36" s="352">
        <v>284.90000000000003</v>
      </c>
      <c r="FM36" s="351">
        <v>0.63967991306280725</v>
      </c>
      <c r="FN36" s="353"/>
      <c r="FO36" s="352">
        <v>170.39999999999998</v>
      </c>
      <c r="FP36" s="351">
        <v>0.40495836343587199</v>
      </c>
      <c r="FQ36" s="353"/>
      <c r="FR36" s="352">
        <v>180.35000000000002</v>
      </c>
      <c r="FS36" s="351">
        <v>0.43547707497522004</v>
      </c>
      <c r="FT36" s="353"/>
      <c r="FU36" s="352">
        <v>175.5</v>
      </c>
      <c r="FV36" s="351">
        <v>0.43596527182621014</v>
      </c>
      <c r="FW36" s="353"/>
      <c r="FX36" s="352">
        <v>174</v>
      </c>
      <c r="FY36" s="351">
        <v>0.4322122311093447</v>
      </c>
      <c r="FZ36" s="353"/>
      <c r="GA36" s="352">
        <v>210</v>
      </c>
      <c r="GB36" s="351">
        <v>0.53567329030941513</v>
      </c>
      <c r="GC36" s="353"/>
      <c r="GD36" s="352">
        <v>301.10000000000002</v>
      </c>
      <c r="GE36" s="351">
        <v>0.76051677759114966</v>
      </c>
      <c r="GF36" s="353"/>
      <c r="GG36" s="352">
        <v>320.39999999999998</v>
      </c>
      <c r="GH36" s="351">
        <v>0.9529389720512873</v>
      </c>
      <c r="GI36" s="353"/>
      <c r="GJ36" s="352">
        <v>364.20000000000005</v>
      </c>
      <c r="GK36" s="351">
        <v>0.83363471143237766</v>
      </c>
      <c r="GL36" s="353"/>
      <c r="GM36" s="352">
        <v>328.2</v>
      </c>
      <c r="GN36" s="351">
        <v>0.55668445388271293</v>
      </c>
      <c r="GO36" s="353"/>
      <c r="GP36" s="352">
        <v>324.85000000000002</v>
      </c>
      <c r="GQ36" s="351">
        <v>0.54334690655219342</v>
      </c>
      <c r="GR36" s="353"/>
      <c r="GS36" s="352">
        <v>1849.1</v>
      </c>
      <c r="GT36" s="351">
        <v>2.6381004421325649</v>
      </c>
      <c r="GU36" s="353"/>
      <c r="GV36" s="352">
        <v>367.4</v>
      </c>
      <c r="GW36" s="351">
        <v>0.5107005243229118</v>
      </c>
      <c r="GX36" s="353"/>
      <c r="GY36" s="352">
        <v>359.4</v>
      </c>
      <c r="GZ36" s="351">
        <v>0.46293433906269321</v>
      </c>
      <c r="HA36" s="353"/>
      <c r="HB36" s="352">
        <v>404.75</v>
      </c>
      <c r="HC36" s="351">
        <v>0.52554799496460736</v>
      </c>
      <c r="HD36" s="353"/>
      <c r="HE36" s="352">
        <v>400.85</v>
      </c>
      <c r="HF36" s="351">
        <v>0.52562047408776957</v>
      </c>
      <c r="HG36" s="353"/>
      <c r="HH36" s="352">
        <v>378.9</v>
      </c>
      <c r="HI36" s="351">
        <v>0.51782031676007656</v>
      </c>
      <c r="HJ36" s="353"/>
      <c r="HK36" s="352">
        <v>384.5</v>
      </c>
      <c r="HL36" s="351">
        <v>0.5705128680698266</v>
      </c>
      <c r="HM36" s="353"/>
      <c r="HN36" s="352">
        <v>342.15</v>
      </c>
      <c r="HO36" s="351">
        <v>0.41833688621151111</v>
      </c>
      <c r="HP36" s="353"/>
      <c r="HQ36" s="352">
        <v>369</v>
      </c>
      <c r="HR36" s="351">
        <v>0.42985450182309565</v>
      </c>
      <c r="HS36" s="353"/>
      <c r="HT36" s="352">
        <v>411</v>
      </c>
      <c r="HU36" s="351">
        <v>0.49002074540382007</v>
      </c>
      <c r="HV36" s="353"/>
      <c r="HW36" s="352">
        <v>365.95</v>
      </c>
      <c r="HX36" s="351">
        <v>0.46021055623290086</v>
      </c>
      <c r="HY36" s="353"/>
      <c r="HZ36" s="352">
        <v>415.55</v>
      </c>
      <c r="IA36" s="351">
        <v>0.49501736521631917</v>
      </c>
      <c r="IB36" s="353"/>
      <c r="IC36" s="352">
        <v>428</v>
      </c>
      <c r="ID36" s="351">
        <v>0.50029222676797191</v>
      </c>
      <c r="IE36" s="353"/>
      <c r="IF36" s="352">
        <v>425.95</v>
      </c>
      <c r="IG36" s="351">
        <v>0.49842060520746856</v>
      </c>
      <c r="IH36" s="353"/>
      <c r="II36" s="352">
        <v>461</v>
      </c>
      <c r="IJ36" s="351">
        <v>0.4751597608740466</v>
      </c>
      <c r="IK36" s="353"/>
      <c r="IL36" s="352">
        <v>478</v>
      </c>
      <c r="IM36" s="351">
        <v>0.49414229457972425</v>
      </c>
      <c r="IN36" s="353"/>
      <c r="IO36" s="352">
        <v>511</v>
      </c>
      <c r="IP36" s="351">
        <v>0.54045284236947222</v>
      </c>
      <c r="IQ36" s="353"/>
      <c r="IR36" s="352">
        <v>585</v>
      </c>
      <c r="IS36" s="351">
        <v>0.60229638624227388</v>
      </c>
      <c r="IT36" s="353"/>
      <c r="IU36" s="352">
        <v>672</v>
      </c>
      <c r="IV36" s="351">
        <v>0.69283350344870254</v>
      </c>
      <c r="IW36" s="353"/>
      <c r="IX36" s="352">
        <v>851</v>
      </c>
      <c r="IY36" s="351">
        <v>0.86110942464533624</v>
      </c>
      <c r="IZ36" s="353"/>
      <c r="JA36" s="352">
        <v>1743</v>
      </c>
      <c r="JB36" s="351">
        <v>1.764152184694487</v>
      </c>
    </row>
    <row r="37" spans="1:262" ht="15" thickBot="1" x14ac:dyDescent="0.4">
      <c r="A37" s="350"/>
      <c r="B37" s="343"/>
      <c r="C37" s="924"/>
      <c r="D37" s="349"/>
      <c r="E37" s="343"/>
      <c r="F37" s="924"/>
      <c r="G37" s="349"/>
      <c r="H37" s="343"/>
      <c r="I37" s="924"/>
      <c r="J37" s="349"/>
      <c r="K37" s="343"/>
      <c r="L37" s="924"/>
      <c r="M37" s="349"/>
      <c r="N37" s="343"/>
      <c r="O37" s="924"/>
      <c r="P37" s="349"/>
      <c r="Q37" s="343"/>
      <c r="R37" s="924"/>
      <c r="S37" s="349"/>
      <c r="T37" s="343"/>
      <c r="U37" s="924"/>
      <c r="V37" s="349"/>
      <c r="W37" s="343"/>
      <c r="X37" s="924"/>
      <c r="Y37" s="342"/>
      <c r="Z37" s="345"/>
      <c r="AA37" s="924"/>
      <c r="AB37" s="349"/>
      <c r="AC37" s="343"/>
      <c r="AD37" s="924"/>
      <c r="AE37" s="342"/>
      <c r="AF37" s="343"/>
      <c r="AG37" s="924"/>
      <c r="AH37" s="342"/>
      <c r="AI37" s="343"/>
      <c r="AJ37" s="924"/>
      <c r="AK37" s="342"/>
      <c r="AL37" s="343"/>
      <c r="AM37" s="924"/>
      <c r="AN37" s="342"/>
      <c r="AO37" s="343"/>
      <c r="AP37" s="924"/>
      <c r="AQ37" s="342"/>
      <c r="AR37" s="343"/>
      <c r="AS37" s="924"/>
      <c r="AT37" s="342"/>
      <c r="AU37" s="348"/>
      <c r="AV37" s="925"/>
      <c r="AW37" s="342"/>
      <c r="AX37" s="343"/>
      <c r="AY37" s="924"/>
      <c r="AZ37" s="342"/>
      <c r="BA37" s="343"/>
      <c r="BB37" s="924"/>
      <c r="BC37" s="342"/>
      <c r="BD37" s="343"/>
      <c r="BE37" s="924"/>
      <c r="BF37" s="342"/>
      <c r="BG37" s="343"/>
      <c r="BH37" s="924"/>
      <c r="BI37" s="342"/>
      <c r="BJ37" s="343"/>
      <c r="BK37" s="924"/>
      <c r="BL37" s="342"/>
      <c r="BM37" s="343"/>
      <c r="BN37" s="926"/>
      <c r="BO37" s="344"/>
      <c r="BP37" s="343"/>
      <c r="BQ37" s="927"/>
      <c r="BR37" s="344"/>
      <c r="BS37" s="343"/>
      <c r="BT37" s="927"/>
      <c r="BU37" s="342"/>
      <c r="BV37" s="345"/>
      <c r="BW37" s="927"/>
      <c r="BX37" s="342"/>
      <c r="BY37" s="343"/>
      <c r="BZ37" s="927"/>
      <c r="CA37" s="342"/>
      <c r="CB37" s="343"/>
      <c r="CC37" s="927"/>
      <c r="CD37" s="344"/>
      <c r="CE37" s="343"/>
      <c r="CF37" s="927"/>
      <c r="CG37" s="342"/>
      <c r="CH37" s="343"/>
      <c r="CI37" s="927"/>
      <c r="CJ37" s="342"/>
      <c r="CK37" s="343"/>
      <c r="CL37" s="927"/>
      <c r="CM37" s="342"/>
      <c r="CN37" s="343"/>
      <c r="CO37" s="927"/>
      <c r="CP37" s="342"/>
      <c r="CQ37" s="341"/>
      <c r="CR37" s="927"/>
      <c r="CS37" s="342"/>
      <c r="CT37" s="341"/>
      <c r="CU37" s="927"/>
      <c r="CV37" s="342"/>
      <c r="CW37" s="341"/>
      <c r="CX37" s="927"/>
      <c r="CY37" s="342"/>
      <c r="CZ37" s="341"/>
      <c r="DA37" s="927"/>
      <c r="DB37" s="342"/>
      <c r="DC37" s="341"/>
      <c r="DD37" s="927"/>
      <c r="DE37" s="342"/>
      <c r="DF37" s="341"/>
      <c r="DG37" s="927"/>
      <c r="DH37" s="342"/>
      <c r="DI37" s="341"/>
      <c r="DJ37" s="927"/>
      <c r="DK37" s="339"/>
      <c r="DL37" s="341"/>
      <c r="DM37" s="927"/>
      <c r="DN37" s="339"/>
      <c r="DO37" s="341"/>
      <c r="DP37" s="927"/>
      <c r="DQ37" s="339"/>
      <c r="DR37" s="341"/>
      <c r="DS37" s="927"/>
      <c r="DT37" s="339"/>
      <c r="DU37" s="341"/>
      <c r="DV37" s="927"/>
      <c r="DW37" s="339"/>
      <c r="DX37" s="341"/>
      <c r="DY37" s="927"/>
      <c r="DZ37" s="339"/>
      <c r="EA37" s="341"/>
      <c r="EB37" s="927"/>
      <c r="EC37" s="339"/>
      <c r="ED37" s="341"/>
      <c r="EE37" s="927"/>
      <c r="EF37" s="339"/>
      <c r="EG37" s="341"/>
      <c r="EH37" s="927"/>
      <c r="EI37" s="339"/>
      <c r="EJ37" s="341"/>
      <c r="EK37" s="927"/>
      <c r="EL37" s="339"/>
      <c r="EM37" s="341"/>
      <c r="EN37" s="927"/>
      <c r="EO37" s="339"/>
      <c r="EP37" s="341"/>
      <c r="EQ37" s="927"/>
      <c r="ER37" s="339"/>
      <c r="ES37" s="341"/>
      <c r="ET37" s="927"/>
      <c r="EU37" s="339"/>
      <c r="EV37" s="341"/>
      <c r="EW37" s="927"/>
      <c r="EX37" s="339"/>
      <c r="EY37" s="341"/>
      <c r="EZ37" s="927"/>
      <c r="FA37" s="339"/>
      <c r="FB37" s="341"/>
      <c r="FC37" s="927"/>
      <c r="FD37" s="339"/>
      <c r="FE37" s="341"/>
      <c r="FF37" s="927"/>
      <c r="FG37" s="339"/>
      <c r="FH37" s="341"/>
      <c r="FI37" s="927"/>
      <c r="FJ37" s="339"/>
      <c r="FK37" s="341"/>
      <c r="FL37" s="927"/>
      <c r="FM37" s="339"/>
      <c r="FN37" s="341"/>
      <c r="FO37" s="927"/>
      <c r="FP37" s="339"/>
      <c r="FQ37" s="341"/>
      <c r="FR37" s="927"/>
      <c r="FS37" s="339"/>
      <c r="FT37" s="341"/>
      <c r="FU37" s="927"/>
      <c r="FV37" s="339"/>
      <c r="FW37" s="341"/>
      <c r="FX37" s="927"/>
      <c r="FY37" s="339"/>
      <c r="FZ37" s="341"/>
      <c r="GA37" s="927"/>
      <c r="GB37" s="339"/>
      <c r="GC37" s="341"/>
      <c r="GD37" s="927"/>
      <c r="GE37" s="339"/>
      <c r="GF37" s="341"/>
      <c r="GG37" s="927"/>
      <c r="GH37" s="339"/>
      <c r="GI37" s="341"/>
      <c r="GJ37" s="927"/>
      <c r="GK37" s="339"/>
      <c r="GL37" s="341"/>
      <c r="GM37" s="927"/>
      <c r="GN37" s="339"/>
      <c r="GO37" s="341"/>
      <c r="GP37" s="927"/>
      <c r="GQ37" s="339"/>
      <c r="GR37" s="341"/>
      <c r="GS37" s="927"/>
      <c r="GT37" s="339"/>
      <c r="GU37" s="341"/>
      <c r="GV37" s="927"/>
      <c r="GW37" s="339"/>
      <c r="GX37" s="341"/>
      <c r="GY37" s="927"/>
      <c r="GZ37" s="339"/>
      <c r="HA37" s="341"/>
      <c r="HB37" s="927"/>
      <c r="HC37" s="339"/>
      <c r="HD37" s="341"/>
      <c r="HE37" s="927"/>
      <c r="HF37" s="339"/>
      <c r="HG37" s="341"/>
      <c r="HH37" s="927"/>
      <c r="HI37" s="339"/>
      <c r="HJ37" s="341"/>
      <c r="HK37" s="927"/>
      <c r="HL37" s="339"/>
      <c r="HM37" s="341"/>
      <c r="HN37" s="927"/>
      <c r="HO37" s="339"/>
      <c r="HP37" s="341"/>
      <c r="HQ37" s="927"/>
      <c r="HR37" s="339"/>
      <c r="HS37" s="341"/>
      <c r="HT37" s="927"/>
      <c r="HU37" s="339"/>
      <c r="HV37" s="341"/>
      <c r="HW37" s="927"/>
      <c r="HX37" s="339"/>
      <c r="HY37" s="341"/>
      <c r="HZ37" s="927"/>
      <c r="IA37" s="339"/>
      <c r="IB37" s="341"/>
      <c r="IC37" s="927"/>
      <c r="ID37" s="339"/>
      <c r="IE37" s="341"/>
      <c r="IF37" s="927"/>
      <c r="IG37" s="339"/>
      <c r="IH37" s="341"/>
      <c r="II37" s="927"/>
      <c r="IJ37" s="339"/>
      <c r="IK37" s="341"/>
      <c r="IL37" s="927"/>
      <c r="IM37" s="339"/>
      <c r="IN37" s="341"/>
      <c r="IO37" s="927"/>
      <c r="IP37" s="339"/>
      <c r="IQ37" s="341"/>
      <c r="IR37" s="927"/>
      <c r="IS37" s="339"/>
      <c r="IT37" s="341"/>
      <c r="IU37" s="927"/>
      <c r="IV37" s="339"/>
      <c r="IW37" s="341"/>
      <c r="IX37" s="927"/>
      <c r="IY37" s="339"/>
      <c r="IZ37" s="341"/>
      <c r="JA37" s="927"/>
      <c r="JB37" s="339"/>
    </row>
    <row r="38" spans="1:262" ht="15" thickBot="1" x14ac:dyDescent="0.4">
      <c r="A38" s="338" t="s">
        <v>112</v>
      </c>
      <c r="B38" s="337"/>
      <c r="C38" s="326">
        <v>7441.9000000000005</v>
      </c>
      <c r="D38" s="335"/>
      <c r="E38" s="337"/>
      <c r="F38" s="326">
        <v>8784.9</v>
      </c>
      <c r="G38" s="335"/>
      <c r="H38" s="337"/>
      <c r="I38" s="326">
        <v>8850.5999999999985</v>
      </c>
      <c r="J38" s="335"/>
      <c r="K38" s="337"/>
      <c r="L38" s="326">
        <v>9707.7999999999993</v>
      </c>
      <c r="M38" s="335"/>
      <c r="N38" s="337"/>
      <c r="O38" s="326">
        <v>8959.6</v>
      </c>
      <c r="P38" s="335"/>
      <c r="Q38" s="334"/>
      <c r="R38" s="333">
        <v>9093106</v>
      </c>
      <c r="S38" s="335"/>
      <c r="T38" s="337"/>
      <c r="U38" s="333">
        <v>9307532</v>
      </c>
      <c r="V38" s="335"/>
      <c r="W38" s="334"/>
      <c r="X38" s="333">
        <v>9906190.7199999988</v>
      </c>
      <c r="Y38" s="327"/>
      <c r="Z38" s="336"/>
      <c r="AA38" s="333">
        <v>9478398</v>
      </c>
      <c r="AB38" s="335"/>
      <c r="AC38" s="334"/>
      <c r="AD38" s="333">
        <v>9255482.1906335987</v>
      </c>
      <c r="AE38" s="327"/>
      <c r="AF38" s="322"/>
      <c r="AG38" s="333">
        <v>9751790.1979999989</v>
      </c>
      <c r="AH38" s="327"/>
      <c r="AI38" s="334"/>
      <c r="AJ38" s="333">
        <v>14206810.681792999</v>
      </c>
      <c r="AK38" s="327"/>
      <c r="AL38" s="322"/>
      <c r="AM38" s="333">
        <v>16004369</v>
      </c>
      <c r="AN38" s="327"/>
      <c r="AO38" s="322"/>
      <c r="AP38" s="333">
        <v>14021503</v>
      </c>
      <c r="AQ38" s="327"/>
      <c r="AR38" s="334"/>
      <c r="AS38" s="333">
        <v>12288682.521</v>
      </c>
      <c r="AT38" s="327"/>
      <c r="AU38" s="334"/>
      <c r="AV38" s="333">
        <v>13152272</v>
      </c>
      <c r="AW38" s="327"/>
      <c r="AX38" s="322"/>
      <c r="AY38" s="333">
        <v>12761559</v>
      </c>
      <c r="AZ38" s="327"/>
      <c r="BA38" s="322"/>
      <c r="BB38" s="333">
        <v>13482033</v>
      </c>
      <c r="BC38" s="327"/>
      <c r="BD38" s="322"/>
      <c r="BE38" s="333">
        <v>14079004</v>
      </c>
      <c r="BF38" s="327"/>
      <c r="BG38" s="322"/>
      <c r="BH38" s="333">
        <v>18486972</v>
      </c>
      <c r="BI38" s="327"/>
      <c r="BJ38" s="322"/>
      <c r="BK38" s="333">
        <v>22260866</v>
      </c>
      <c r="BL38" s="327"/>
      <c r="BM38" s="322"/>
      <c r="BN38" s="329">
        <v>21617.3</v>
      </c>
      <c r="BO38" s="332"/>
      <c r="BP38" s="331"/>
      <c r="BQ38" s="329">
        <v>21016.600000000006</v>
      </c>
      <c r="BR38" s="332"/>
      <c r="BS38" s="331"/>
      <c r="BT38" s="329">
        <v>21417.699999999997</v>
      </c>
      <c r="BU38" s="327"/>
      <c r="BV38" s="322"/>
      <c r="BW38" s="329">
        <v>24322.6</v>
      </c>
      <c r="BX38" s="327"/>
      <c r="BY38" s="322"/>
      <c r="BZ38" s="330">
        <v>26791.7</v>
      </c>
      <c r="CA38" s="327"/>
      <c r="CB38" s="322"/>
      <c r="CC38" s="329">
        <v>29336</v>
      </c>
      <c r="CD38" s="327"/>
      <c r="CE38" s="322"/>
      <c r="CF38" s="329">
        <v>29756</v>
      </c>
      <c r="CG38" s="327"/>
      <c r="CH38" s="322"/>
      <c r="CI38" s="328">
        <v>30934.400000000001</v>
      </c>
      <c r="CJ38" s="327"/>
      <c r="CK38" s="322"/>
      <c r="CL38" s="321">
        <v>31351.200000000001</v>
      </c>
      <c r="CM38" s="327"/>
      <c r="CN38" s="322"/>
      <c r="CO38" s="326">
        <v>31304</v>
      </c>
      <c r="CP38" s="324"/>
      <c r="CQ38" s="322"/>
      <c r="CR38" s="321">
        <v>34284</v>
      </c>
      <c r="CS38" s="323"/>
      <c r="CT38" s="325"/>
      <c r="CU38" s="321">
        <v>35282</v>
      </c>
      <c r="CV38" s="323"/>
      <c r="CW38" s="325"/>
      <c r="CX38" s="321">
        <v>35947</v>
      </c>
      <c r="CY38" s="323"/>
      <c r="CZ38" s="325"/>
      <c r="DA38" s="321">
        <v>37359</v>
      </c>
      <c r="DB38" s="324"/>
      <c r="DC38" s="322"/>
      <c r="DD38" s="321">
        <v>42530</v>
      </c>
      <c r="DE38" s="323"/>
      <c r="DF38" s="322"/>
      <c r="DG38" s="321">
        <v>45633</v>
      </c>
      <c r="DH38" s="323"/>
      <c r="DI38" s="322"/>
      <c r="DJ38" s="321">
        <v>47162</v>
      </c>
      <c r="DK38" s="320"/>
      <c r="DL38" s="322"/>
      <c r="DM38" s="321">
        <v>48764</v>
      </c>
      <c r="DN38" s="320"/>
      <c r="DO38" s="322"/>
      <c r="DP38" s="321">
        <v>51456</v>
      </c>
      <c r="DQ38" s="320"/>
      <c r="DR38" s="322"/>
      <c r="DS38" s="321">
        <v>51301</v>
      </c>
      <c r="DT38" s="320"/>
      <c r="DU38" s="322"/>
      <c r="DV38" s="321">
        <v>51429</v>
      </c>
      <c r="DW38" s="320"/>
      <c r="DX38" s="322"/>
      <c r="DY38" s="321">
        <v>56004</v>
      </c>
      <c r="DZ38" s="320"/>
      <c r="EA38" s="322"/>
      <c r="EB38" s="321">
        <v>54711</v>
      </c>
      <c r="EC38" s="320"/>
      <c r="ED38" s="322"/>
      <c r="EE38" s="321">
        <v>54552</v>
      </c>
      <c r="EF38" s="320"/>
      <c r="EG38" s="322"/>
      <c r="EH38" s="321">
        <v>54676</v>
      </c>
      <c r="EI38" s="320"/>
      <c r="EJ38" s="322"/>
      <c r="EK38" s="321">
        <v>54024</v>
      </c>
      <c r="EL38" s="320"/>
      <c r="EM38" s="322"/>
      <c r="EN38" s="321">
        <v>53464</v>
      </c>
      <c r="EO38" s="320"/>
      <c r="EP38" s="322"/>
      <c r="EQ38" s="321">
        <v>53104</v>
      </c>
      <c r="ER38" s="320"/>
      <c r="ES38" s="322"/>
      <c r="ET38" s="321">
        <v>51637</v>
      </c>
      <c r="EU38" s="320"/>
      <c r="EV38" s="322"/>
      <c r="EW38" s="321">
        <v>46103</v>
      </c>
      <c r="EX38" s="320"/>
      <c r="EY38" s="322"/>
      <c r="EZ38" s="321">
        <v>46231.1</v>
      </c>
      <c r="FA38" s="320"/>
      <c r="FB38" s="322"/>
      <c r="FC38" s="321">
        <v>45014.7</v>
      </c>
      <c r="FD38" s="320"/>
      <c r="FE38" s="322"/>
      <c r="FF38" s="321">
        <v>45127.7</v>
      </c>
      <c r="FG38" s="320"/>
      <c r="FH38" s="322"/>
      <c r="FI38" s="321">
        <v>44544</v>
      </c>
      <c r="FJ38" s="320"/>
      <c r="FK38" s="322"/>
      <c r="FL38" s="321">
        <v>44537.9</v>
      </c>
      <c r="FM38" s="320"/>
      <c r="FN38" s="322"/>
      <c r="FO38" s="321">
        <v>42078.400000000001</v>
      </c>
      <c r="FP38" s="320"/>
      <c r="FQ38" s="322"/>
      <c r="FR38" s="321">
        <v>41414.35</v>
      </c>
      <c r="FS38" s="320"/>
      <c r="FT38" s="322"/>
      <c r="FU38" s="321">
        <v>40255.5</v>
      </c>
      <c r="FV38" s="320"/>
      <c r="FW38" s="322"/>
      <c r="FX38" s="321">
        <v>40258</v>
      </c>
      <c r="FY38" s="320"/>
      <c r="FZ38" s="322"/>
      <c r="GA38" s="321">
        <v>39203</v>
      </c>
      <c r="GB38" s="320"/>
      <c r="GC38" s="322"/>
      <c r="GD38" s="321">
        <v>39591.5</v>
      </c>
      <c r="GE38" s="320"/>
      <c r="GF38" s="322"/>
      <c r="GG38" s="321">
        <v>33622.300000000003</v>
      </c>
      <c r="GH38" s="320"/>
      <c r="GI38" s="322"/>
      <c r="GJ38" s="321">
        <v>43688.2</v>
      </c>
      <c r="GK38" s="320"/>
      <c r="GL38" s="322"/>
      <c r="GM38" s="321">
        <v>58956.2</v>
      </c>
      <c r="GN38" s="320"/>
      <c r="GO38" s="322"/>
      <c r="GP38" s="321">
        <v>59786.85</v>
      </c>
      <c r="GQ38" s="320"/>
      <c r="GR38" s="322"/>
      <c r="GS38" s="321">
        <v>70092.100000000006</v>
      </c>
      <c r="GT38" s="320"/>
      <c r="GU38" s="322"/>
      <c r="GV38" s="321">
        <v>71940.399999999994</v>
      </c>
      <c r="GW38" s="320"/>
      <c r="GX38" s="322"/>
      <c r="GY38" s="321">
        <v>77635.199999999997</v>
      </c>
      <c r="GZ38" s="320"/>
      <c r="HA38" s="322"/>
      <c r="HB38" s="321">
        <v>77014.850000000006</v>
      </c>
      <c r="HC38" s="320"/>
      <c r="HD38" s="322"/>
      <c r="HE38" s="321">
        <v>76262.25</v>
      </c>
      <c r="HF38" s="320"/>
      <c r="HG38" s="322"/>
      <c r="HH38" s="321">
        <v>73172.099999999991</v>
      </c>
      <c r="HI38" s="320"/>
      <c r="HJ38" s="322"/>
      <c r="HK38" s="321">
        <v>67395.5</v>
      </c>
      <c r="HL38" s="320"/>
      <c r="HM38" s="322"/>
      <c r="HN38" s="321">
        <v>81788.149999999994</v>
      </c>
      <c r="HO38" s="320"/>
      <c r="HP38" s="322"/>
      <c r="HQ38" s="321">
        <v>85843</v>
      </c>
      <c r="HR38" s="320"/>
      <c r="HS38" s="322"/>
      <c r="HT38" s="321">
        <v>83874</v>
      </c>
      <c r="HU38" s="320"/>
      <c r="HV38" s="322"/>
      <c r="HW38" s="321">
        <v>79517.95</v>
      </c>
      <c r="HX38" s="320"/>
      <c r="HY38" s="322"/>
      <c r="HZ38" s="321">
        <v>83946.55</v>
      </c>
      <c r="IA38" s="320"/>
      <c r="IB38" s="322"/>
      <c r="IC38" s="321">
        <v>85550</v>
      </c>
      <c r="ID38" s="320"/>
      <c r="IE38" s="322"/>
      <c r="IF38" s="321">
        <v>85459.95</v>
      </c>
      <c r="IG38" s="320"/>
      <c r="IH38" s="322"/>
      <c r="II38" s="321">
        <v>97020</v>
      </c>
      <c r="IJ38" s="320"/>
      <c r="IK38" s="322"/>
      <c r="IL38" s="321">
        <v>96733.26999999999</v>
      </c>
      <c r="IM38" s="320"/>
      <c r="IN38" s="322"/>
      <c r="IO38" s="321">
        <v>94550.34</v>
      </c>
      <c r="IP38" s="320"/>
      <c r="IQ38" s="322"/>
      <c r="IR38" s="321">
        <v>97128.26</v>
      </c>
      <c r="IS38" s="320"/>
      <c r="IT38" s="322"/>
      <c r="IU38" s="321">
        <v>96993</v>
      </c>
      <c r="IV38" s="320"/>
      <c r="IW38" s="322"/>
      <c r="IX38" s="321">
        <v>98826</v>
      </c>
      <c r="IY38" s="320"/>
      <c r="IZ38" s="322"/>
      <c r="JA38" s="321">
        <v>98801</v>
      </c>
      <c r="JB38" s="320"/>
    </row>
    <row r="39" spans="1:262" s="923" customFormat="1" x14ac:dyDescent="0.35">
      <c r="A39" s="913"/>
      <c r="B39" s="914"/>
      <c r="C39" s="914"/>
      <c r="D39" s="915"/>
      <c r="E39" s="914"/>
      <c r="F39" s="914"/>
      <c r="G39" s="915"/>
      <c r="H39" s="914"/>
      <c r="I39" s="914"/>
      <c r="J39" s="915"/>
      <c r="K39" s="914"/>
      <c r="L39" s="914"/>
      <c r="M39" s="915"/>
      <c r="N39" s="914"/>
      <c r="O39" s="914"/>
      <c r="P39" s="915"/>
      <c r="Q39" s="916"/>
      <c r="R39" s="916"/>
      <c r="S39" s="915"/>
      <c r="T39" s="914"/>
      <c r="U39" s="916"/>
      <c r="V39" s="915"/>
      <c r="W39" s="916"/>
      <c r="X39" s="916"/>
      <c r="Y39" s="915"/>
      <c r="Z39" s="916"/>
      <c r="AA39" s="916"/>
      <c r="AB39" s="915"/>
      <c r="AC39" s="916"/>
      <c r="AD39" s="916"/>
      <c r="AE39" s="915"/>
      <c r="AF39" s="915"/>
      <c r="AG39" s="916"/>
      <c r="AH39" s="915"/>
      <c r="AI39" s="916"/>
      <c r="AJ39" s="916"/>
      <c r="AK39" s="915"/>
      <c r="AL39" s="915"/>
      <c r="AM39" s="916"/>
      <c r="AN39" s="915"/>
      <c r="AO39" s="915"/>
      <c r="AP39" s="916"/>
      <c r="AQ39" s="915"/>
      <c r="AR39" s="916"/>
      <c r="AS39" s="916"/>
      <c r="AT39" s="915"/>
      <c r="AU39" s="916"/>
      <c r="AV39" s="916"/>
      <c r="AW39" s="915"/>
      <c r="AX39" s="915"/>
      <c r="AY39" s="916"/>
      <c r="AZ39" s="915"/>
      <c r="BA39" s="915"/>
      <c r="BB39" s="916"/>
      <c r="BC39" s="915"/>
      <c r="BD39" s="915"/>
      <c r="BE39" s="916"/>
      <c r="BF39" s="915"/>
      <c r="BG39" s="915"/>
      <c r="BH39" s="916"/>
      <c r="BI39" s="915"/>
      <c r="BJ39" s="915"/>
      <c r="BK39" s="916"/>
      <c r="BL39" s="915"/>
      <c r="BM39" s="915"/>
      <c r="BN39" s="917"/>
      <c r="BO39" s="918"/>
      <c r="BP39" s="918"/>
      <c r="BQ39" s="917"/>
      <c r="BR39" s="918"/>
      <c r="BS39" s="918"/>
      <c r="BT39" s="917"/>
      <c r="BU39" s="915"/>
      <c r="BV39" s="915"/>
      <c r="BW39" s="917"/>
      <c r="BX39" s="915"/>
      <c r="BY39" s="915"/>
      <c r="BZ39" s="919"/>
      <c r="CA39" s="915"/>
      <c r="CB39" s="915"/>
      <c r="CC39" s="917"/>
      <c r="CD39" s="915"/>
      <c r="CE39" s="915"/>
      <c r="CF39" s="917"/>
      <c r="CG39" s="915"/>
      <c r="CH39" s="915"/>
      <c r="CI39" s="920"/>
      <c r="CJ39" s="915"/>
      <c r="CK39" s="915"/>
      <c r="CL39" s="921"/>
      <c r="CM39" s="915"/>
      <c r="CN39" s="915"/>
      <c r="CO39" s="914"/>
      <c r="CP39" s="915"/>
      <c r="CQ39" s="915"/>
      <c r="CR39" s="921"/>
      <c r="CS39" s="921"/>
      <c r="CT39" s="921"/>
      <c r="CU39" s="921"/>
      <c r="CV39" s="921"/>
      <c r="CW39" s="921"/>
      <c r="CX39" s="921"/>
      <c r="CY39" s="921"/>
      <c r="CZ39" s="921"/>
      <c r="DA39" s="921"/>
      <c r="DB39" s="915"/>
      <c r="DC39" s="915"/>
      <c r="DD39" s="921"/>
      <c r="DE39" s="921"/>
      <c r="DF39" s="915"/>
      <c r="DG39" s="921"/>
      <c r="DH39" s="921"/>
      <c r="DI39" s="915"/>
      <c r="DJ39" s="921"/>
      <c r="DK39" s="922"/>
      <c r="DL39" s="915"/>
      <c r="DM39" s="921"/>
      <c r="DN39" s="922"/>
      <c r="DO39" s="915"/>
      <c r="DP39" s="921"/>
      <c r="DQ39" s="922"/>
      <c r="DR39" s="915"/>
      <c r="DS39" s="921"/>
      <c r="DT39" s="922"/>
      <c r="DU39" s="915"/>
      <c r="DV39" s="921"/>
      <c r="DW39" s="922"/>
      <c r="DX39" s="915"/>
      <c r="DY39" s="921"/>
      <c r="DZ39" s="922"/>
      <c r="EA39" s="915"/>
      <c r="EB39" s="921"/>
      <c r="EC39" s="922"/>
      <c r="ED39" s="915"/>
      <c r="EE39" s="921"/>
      <c r="EF39" s="922"/>
      <c r="EG39" s="915"/>
      <c r="EH39" s="921"/>
      <c r="EI39" s="922"/>
      <c r="EJ39" s="915"/>
      <c r="EK39" s="921"/>
      <c r="EL39" s="922"/>
      <c r="EM39" s="915"/>
      <c r="EN39" s="921"/>
      <c r="EO39" s="922"/>
      <c r="EP39" s="915"/>
      <c r="EQ39" s="921"/>
      <c r="ER39" s="922"/>
      <c r="ES39" s="915"/>
      <c r="ET39" s="921"/>
      <c r="EU39" s="922"/>
      <c r="EV39" s="915"/>
      <c r="EW39" s="921"/>
      <c r="EX39" s="922"/>
      <c r="EY39" s="915"/>
      <c r="EZ39" s="921"/>
      <c r="FA39" s="922"/>
      <c r="FB39" s="915"/>
      <c r="FC39" s="921"/>
      <c r="FD39" s="922"/>
      <c r="FE39" s="915"/>
      <c r="FF39" s="921"/>
      <c r="FG39" s="922"/>
      <c r="FH39" s="915"/>
      <c r="FI39" s="921"/>
      <c r="FJ39" s="922"/>
      <c r="FK39" s="915"/>
      <c r="FL39" s="921"/>
      <c r="FM39" s="922"/>
      <c r="FN39" s="915"/>
      <c r="FO39" s="921"/>
      <c r="FP39" s="922"/>
      <c r="FQ39" s="915"/>
      <c r="FR39" s="921"/>
      <c r="FS39" s="922"/>
      <c r="FT39" s="915"/>
      <c r="FU39" s="921"/>
      <c r="FV39" s="922"/>
      <c r="FW39" s="915"/>
      <c r="FX39" s="921"/>
      <c r="FY39" s="922"/>
      <c r="FZ39" s="915"/>
      <c r="GA39" s="921"/>
      <c r="GB39" s="922"/>
      <c r="GC39" s="915"/>
      <c r="GD39" s="921"/>
      <c r="GE39" s="922"/>
      <c r="GF39" s="915"/>
      <c r="GG39" s="921"/>
      <c r="GH39" s="922"/>
      <c r="GI39" s="915"/>
      <c r="GJ39" s="921"/>
      <c r="GK39" s="922"/>
      <c r="GL39" s="915"/>
      <c r="GM39" s="921"/>
      <c r="GN39" s="922"/>
      <c r="GO39" s="915"/>
      <c r="GP39" s="921"/>
      <c r="GQ39" s="922"/>
      <c r="GR39" s="915"/>
      <c r="GS39" s="921"/>
      <c r="GT39" s="922"/>
      <c r="GU39" s="915"/>
      <c r="GV39" s="921"/>
      <c r="GW39" s="922"/>
      <c r="GX39" s="915"/>
      <c r="GY39" s="921"/>
      <c r="GZ39" s="922"/>
      <c r="HA39" s="915"/>
      <c r="HB39" s="921"/>
      <c r="HC39" s="922"/>
      <c r="HD39" s="915"/>
      <c r="HE39" s="921"/>
      <c r="HF39" s="922"/>
      <c r="HG39" s="915"/>
      <c r="HH39" s="921"/>
      <c r="HI39" s="922"/>
      <c r="HJ39" s="915"/>
      <c r="HK39" s="921"/>
      <c r="HL39" s="922"/>
      <c r="HM39" s="915"/>
      <c r="HN39" s="921"/>
      <c r="HO39" s="922"/>
      <c r="HP39" s="915"/>
      <c r="HQ39" s="921"/>
      <c r="HR39" s="922"/>
      <c r="HS39" s="915"/>
      <c r="HT39" s="921"/>
      <c r="HU39" s="922"/>
      <c r="HV39" s="915"/>
      <c r="HW39" s="921"/>
      <c r="HX39" s="922"/>
      <c r="HY39" s="915"/>
      <c r="HZ39" s="921"/>
      <c r="IA39" s="922"/>
      <c r="IB39" s="915"/>
      <c r="IC39" s="921"/>
      <c r="ID39" s="922"/>
      <c r="IE39" s="915"/>
      <c r="IF39" s="921"/>
      <c r="IG39" s="922"/>
      <c r="IH39" s="915"/>
      <c r="II39" s="921"/>
      <c r="IJ39" s="922"/>
      <c r="IK39" s="915"/>
      <c r="IL39" s="921"/>
      <c r="IM39" s="922"/>
      <c r="IN39" s="915"/>
      <c r="IO39" s="921"/>
      <c r="IP39" s="922"/>
      <c r="IQ39" s="915"/>
      <c r="IR39" s="921"/>
      <c r="IS39" s="922"/>
      <c r="IT39" s="915"/>
      <c r="IU39" s="921"/>
      <c r="IV39" s="922"/>
      <c r="IW39" s="915"/>
      <c r="IX39" s="921"/>
      <c r="IY39" s="922"/>
      <c r="IZ39" s="915"/>
      <c r="JA39" s="921"/>
      <c r="JB39" s="922"/>
    </row>
    <row r="40" spans="1:262" s="912" customFormat="1" ht="22.65" customHeight="1" x14ac:dyDescent="0.3">
      <c r="A40" s="1284" t="s">
        <v>111</v>
      </c>
      <c r="B40" s="1284"/>
      <c r="C40" s="1284"/>
      <c r="D40" s="1284"/>
      <c r="E40" s="1284"/>
      <c r="F40" s="1284"/>
      <c r="G40" s="1284"/>
      <c r="H40" s="1284"/>
      <c r="I40" s="1284"/>
      <c r="J40" s="1284"/>
      <c r="K40" s="1284"/>
      <c r="L40" s="1284"/>
      <c r="M40" s="1284"/>
      <c r="N40" s="1284"/>
      <c r="O40" s="1284"/>
      <c r="P40" s="1284"/>
      <c r="Q40" s="1284"/>
      <c r="R40" s="1284"/>
      <c r="S40" s="1284"/>
      <c r="T40" s="1284"/>
      <c r="U40" s="1284"/>
      <c r="V40" s="1284"/>
      <c r="W40" s="1284"/>
      <c r="X40" s="1284"/>
      <c r="Y40" s="1284"/>
      <c r="Z40" s="1284"/>
      <c r="AA40" s="1284"/>
      <c r="AB40" s="1284"/>
      <c r="AC40" s="1284"/>
      <c r="AD40" s="1284"/>
      <c r="AE40" s="1284"/>
      <c r="AF40" s="1284"/>
      <c r="AG40" s="1284"/>
      <c r="AH40" s="1284"/>
      <c r="AI40" s="1284"/>
      <c r="AJ40" s="1284"/>
      <c r="AK40" s="1284"/>
      <c r="AL40" s="1284"/>
      <c r="AM40" s="1284"/>
      <c r="AN40" s="1284"/>
      <c r="AO40" s="1284"/>
      <c r="AP40" s="1284"/>
      <c r="AQ40" s="1284"/>
      <c r="AR40" s="1284"/>
      <c r="AS40" s="1284"/>
      <c r="AT40" s="1284"/>
      <c r="AU40" s="1284"/>
      <c r="AV40" s="1284"/>
      <c r="AW40" s="1284"/>
      <c r="AX40" s="1284"/>
      <c r="AY40" s="1284"/>
      <c r="AZ40" s="1284"/>
      <c r="BA40" s="1284"/>
      <c r="BB40" s="1284"/>
      <c r="BC40" s="1284"/>
      <c r="BD40" s="1284"/>
      <c r="BE40" s="1284"/>
      <c r="BF40" s="1284"/>
      <c r="BG40" s="1284"/>
      <c r="BH40" s="1284"/>
      <c r="BI40" s="1284"/>
      <c r="BJ40" s="1284"/>
      <c r="BK40" s="1284"/>
      <c r="BL40" s="1284"/>
      <c r="BM40" s="1284"/>
      <c r="BN40" s="1284"/>
      <c r="BO40" s="1284"/>
      <c r="BP40" s="1284"/>
      <c r="BQ40" s="1284"/>
      <c r="BR40" s="1284"/>
      <c r="BS40" s="1284"/>
      <c r="BT40" s="1284"/>
      <c r="BU40" s="1284"/>
      <c r="BV40" s="1284"/>
      <c r="BW40" s="1284"/>
      <c r="BX40" s="1284"/>
      <c r="BY40" s="1284"/>
      <c r="BZ40" s="1284"/>
      <c r="CA40" s="1284"/>
      <c r="CB40" s="1284"/>
      <c r="CC40" s="1284"/>
      <c r="CD40" s="1284"/>
      <c r="CE40" s="1284"/>
      <c r="CF40" s="1284"/>
      <c r="CG40" s="1284"/>
      <c r="CH40" s="1284"/>
      <c r="CI40" s="1284"/>
      <c r="CJ40" s="1284"/>
      <c r="CK40" s="1284"/>
      <c r="CL40" s="1284"/>
      <c r="CM40" s="1284"/>
      <c r="CN40" s="1284"/>
      <c r="CO40" s="1284"/>
      <c r="CP40" s="1284"/>
      <c r="CQ40" s="1284"/>
      <c r="CR40" s="1284"/>
      <c r="CS40" s="1284"/>
      <c r="CT40" s="1284"/>
      <c r="CU40" s="1284"/>
      <c r="CV40" s="1284"/>
      <c r="CW40" s="1284"/>
      <c r="CX40" s="1284"/>
      <c r="CY40" s="1284"/>
      <c r="CZ40" s="1284"/>
      <c r="DA40" s="1284"/>
      <c r="DB40" s="1284"/>
      <c r="DC40" s="1284"/>
      <c r="DD40" s="1284"/>
      <c r="DE40" s="1284"/>
      <c r="DF40" s="1284"/>
      <c r="DG40" s="1284"/>
      <c r="DH40" s="1284"/>
      <c r="DI40" s="1284"/>
      <c r="DJ40" s="1284"/>
      <c r="DK40" s="1284"/>
      <c r="DL40" s="1284"/>
      <c r="DM40" s="1284"/>
      <c r="DN40" s="1284"/>
      <c r="DO40" s="1284"/>
      <c r="DP40" s="1284"/>
      <c r="DQ40" s="1284"/>
      <c r="DR40" s="1284"/>
      <c r="DS40" s="1284"/>
      <c r="DT40" s="1284"/>
      <c r="DU40" s="1284"/>
      <c r="DV40" s="1284"/>
      <c r="DW40" s="1284"/>
      <c r="DX40" s="1284"/>
      <c r="DY40" s="1284"/>
      <c r="DZ40" s="1284"/>
      <c r="EA40" s="1284"/>
      <c r="EB40" s="1284"/>
      <c r="EC40" s="1284"/>
      <c r="ED40" s="1284"/>
      <c r="EE40" s="1284"/>
      <c r="EF40" s="1284"/>
      <c r="EG40" s="1284"/>
      <c r="EH40" s="1284"/>
      <c r="EI40" s="1284"/>
      <c r="EJ40" s="1284"/>
      <c r="EK40" s="1284"/>
      <c r="EL40" s="1284"/>
      <c r="EM40" s="1284"/>
      <c r="EN40" s="1284"/>
      <c r="EO40" s="1284"/>
      <c r="EP40" s="1284"/>
      <c r="EQ40" s="1284"/>
      <c r="ER40" s="1284"/>
      <c r="ES40" s="1284"/>
      <c r="ET40" s="1284"/>
      <c r="EU40" s="1284"/>
      <c r="EV40" s="1284"/>
      <c r="EW40" s="1284"/>
      <c r="EX40" s="1284"/>
      <c r="EY40" s="1284"/>
      <c r="EZ40" s="1284"/>
      <c r="FA40" s="1284"/>
      <c r="FB40" s="1284"/>
      <c r="FC40" s="1284"/>
      <c r="FD40" s="1284"/>
      <c r="FE40" s="1284"/>
      <c r="FF40" s="1284"/>
      <c r="FG40" s="1284"/>
      <c r="FH40" s="1284"/>
      <c r="FI40" s="1284"/>
      <c r="FJ40" s="1284"/>
      <c r="FK40" s="1284"/>
      <c r="FL40" s="1284"/>
      <c r="FM40" s="1284"/>
      <c r="FN40" s="1284"/>
      <c r="FO40" s="1284"/>
      <c r="FP40" s="1284"/>
      <c r="FQ40" s="1284"/>
      <c r="FR40" s="1284"/>
      <c r="FS40" s="1284"/>
      <c r="FT40" s="1284"/>
      <c r="FU40" s="1284"/>
      <c r="FV40" s="1284"/>
      <c r="FW40" s="1284"/>
      <c r="FX40" s="1284"/>
      <c r="FY40" s="1284"/>
      <c r="FZ40" s="1284"/>
      <c r="GA40" s="1284"/>
      <c r="GB40" s="1284"/>
      <c r="GC40" s="1284"/>
      <c r="GD40" s="1284"/>
      <c r="GE40" s="1284"/>
      <c r="GF40" s="1284"/>
      <c r="GG40" s="1284"/>
      <c r="GH40" s="1284"/>
      <c r="GI40" s="1284"/>
      <c r="GJ40" s="1284"/>
      <c r="GK40" s="1284"/>
      <c r="GL40" s="1284"/>
      <c r="GM40" s="1284"/>
      <c r="GN40" s="1284"/>
      <c r="GO40" s="1284"/>
      <c r="GP40" s="1284"/>
      <c r="GQ40" s="1284"/>
      <c r="GR40" s="1284"/>
      <c r="GS40" s="1284"/>
      <c r="GT40" s="1284"/>
      <c r="GU40" s="1284"/>
      <c r="GV40" s="1284"/>
      <c r="GW40" s="1284"/>
      <c r="GX40" s="1284"/>
      <c r="GY40" s="1284"/>
      <c r="GZ40" s="1284"/>
      <c r="HA40" s="1284"/>
      <c r="HB40" s="1284"/>
      <c r="HC40" s="1284"/>
      <c r="HD40" s="1284"/>
      <c r="HE40" s="1284"/>
      <c r="HF40" s="1284"/>
      <c r="HG40" s="1284"/>
      <c r="HH40" s="1284"/>
      <c r="HI40" s="1284"/>
      <c r="HJ40" s="1284"/>
      <c r="HK40" s="1284"/>
      <c r="HL40" s="1284"/>
      <c r="HM40" s="1284"/>
      <c r="HN40" s="1284"/>
      <c r="HO40" s="1284"/>
      <c r="HP40" s="1284"/>
      <c r="HQ40" s="1284"/>
      <c r="HR40" s="1284"/>
      <c r="HS40" s="1284"/>
      <c r="HT40" s="1284"/>
      <c r="HU40" s="1284"/>
      <c r="HV40" s="1284"/>
      <c r="HW40" s="1284"/>
      <c r="HX40" s="1284"/>
      <c r="HY40" s="1284"/>
      <c r="HZ40" s="1284"/>
      <c r="IA40" s="1284"/>
      <c r="IB40" s="1284"/>
      <c r="IC40" s="1284"/>
      <c r="ID40" s="1284"/>
      <c r="IE40" s="1284"/>
      <c r="IF40" s="1284"/>
      <c r="IG40" s="1284"/>
      <c r="IH40" s="1284"/>
      <c r="II40" s="1284"/>
      <c r="IJ40" s="1284"/>
      <c r="IK40" s="1284"/>
      <c r="IL40" s="1284"/>
      <c r="IM40" s="1284"/>
      <c r="IN40" s="1284"/>
      <c r="IO40" s="1284"/>
      <c r="IP40" s="1284"/>
      <c r="IQ40" s="1284"/>
      <c r="IR40" s="1284"/>
      <c r="IS40" s="1284"/>
      <c r="IT40" s="1284"/>
      <c r="IU40" s="1284"/>
      <c r="IV40" s="1284"/>
      <c r="IW40" s="1284"/>
      <c r="IX40" s="1284"/>
      <c r="IY40" s="1284"/>
      <c r="IZ40" s="1284"/>
      <c r="JA40" s="1284"/>
      <c r="JB40" s="1284"/>
    </row>
    <row r="41" spans="1:262" s="111" customFormat="1" ht="14.5" customHeight="1" x14ac:dyDescent="0.3">
      <c r="A41" s="1240" t="s">
        <v>476</v>
      </c>
      <c r="B41" s="1240"/>
      <c r="C41" s="1240"/>
      <c r="D41" s="1240"/>
      <c r="E41" s="1240"/>
      <c r="F41" s="1240"/>
      <c r="G41" s="1240"/>
      <c r="H41" s="1240"/>
      <c r="I41" s="1240"/>
      <c r="J41" s="1240"/>
      <c r="K41" s="1240"/>
      <c r="L41" s="1240"/>
      <c r="M41" s="1240"/>
      <c r="N41" s="1240"/>
      <c r="O41" s="1240"/>
      <c r="P41" s="1240"/>
      <c r="Q41" s="1240"/>
      <c r="R41" s="1240"/>
      <c r="S41" s="1240"/>
      <c r="T41" s="1240"/>
      <c r="U41" s="1240"/>
      <c r="V41" s="1240"/>
      <c r="W41" s="1240"/>
      <c r="X41" s="1240"/>
      <c r="Y41" s="1240"/>
      <c r="Z41" s="1240"/>
      <c r="AA41" s="1240"/>
      <c r="AB41" s="1240"/>
      <c r="AC41" s="1240"/>
      <c r="AD41" s="1240"/>
      <c r="AE41" s="1240"/>
      <c r="AF41" s="1240"/>
      <c r="AG41" s="1240"/>
      <c r="AH41" s="1240"/>
      <c r="AI41" s="1240"/>
      <c r="AJ41" s="1240"/>
      <c r="AK41" s="1240"/>
      <c r="AL41" s="1240"/>
      <c r="AM41" s="1240"/>
      <c r="AN41" s="1240"/>
      <c r="AO41" s="1240"/>
      <c r="AP41" s="1240"/>
      <c r="AQ41" s="1240"/>
      <c r="AR41" s="1240"/>
      <c r="AS41" s="1240"/>
      <c r="AT41" s="1240"/>
      <c r="AU41" s="1240"/>
      <c r="AV41" s="1240"/>
      <c r="AW41" s="1240"/>
      <c r="AX41" s="1240"/>
      <c r="AY41" s="1240"/>
      <c r="AZ41" s="1240"/>
      <c r="BA41" s="1240"/>
      <c r="BB41" s="1240"/>
      <c r="BC41" s="1240"/>
      <c r="BD41" s="1240"/>
      <c r="BE41" s="1240"/>
      <c r="BF41" s="1240"/>
      <c r="BG41" s="1240"/>
      <c r="BH41" s="1240"/>
      <c r="BI41" s="1240"/>
      <c r="BJ41" s="1240"/>
      <c r="BK41" s="1240"/>
      <c r="BL41" s="1240"/>
      <c r="BM41" s="1240"/>
      <c r="BN41" s="1240"/>
      <c r="BO41" s="1240"/>
      <c r="BP41" s="1240"/>
      <c r="BQ41" s="1240"/>
      <c r="BR41" s="1240"/>
      <c r="BS41" s="1240"/>
      <c r="BT41" s="1240"/>
      <c r="BU41" s="1240"/>
      <c r="BV41" s="1240"/>
      <c r="BW41" s="1240"/>
      <c r="BX41" s="1240"/>
      <c r="BY41" s="1240"/>
      <c r="BZ41" s="1240"/>
      <c r="CA41" s="1240"/>
      <c r="CB41" s="1240"/>
      <c r="CC41" s="1240"/>
      <c r="CD41" s="1240"/>
      <c r="CE41" s="1240"/>
      <c r="CF41" s="1240"/>
      <c r="CG41" s="1240"/>
      <c r="CH41" s="1240"/>
      <c r="CI41" s="1240"/>
      <c r="CJ41" s="1240"/>
      <c r="CK41" s="1240"/>
      <c r="CL41" s="1240"/>
      <c r="CM41" s="1240"/>
      <c r="CN41" s="1240"/>
      <c r="CO41" s="1240"/>
      <c r="CP41" s="1240"/>
      <c r="CQ41" s="1240"/>
      <c r="CR41" s="1240"/>
      <c r="CS41" s="1240"/>
      <c r="CT41" s="1240"/>
      <c r="CU41" s="1240"/>
      <c r="CV41" s="1240"/>
      <c r="CW41" s="1240"/>
      <c r="CX41" s="1240"/>
      <c r="CY41" s="1240"/>
      <c r="CZ41" s="1240"/>
      <c r="DA41" s="1240"/>
      <c r="DB41" s="1240"/>
      <c r="DC41" s="1240"/>
      <c r="DD41" s="1240"/>
      <c r="DE41" s="1240"/>
      <c r="DF41" s="1240"/>
      <c r="DG41" s="1240"/>
      <c r="DH41" s="1240"/>
      <c r="DI41" s="1240"/>
      <c r="DJ41" s="1240"/>
      <c r="DK41" s="1240"/>
      <c r="DL41" s="1240"/>
      <c r="DM41" s="1240"/>
      <c r="DN41" s="1240"/>
      <c r="DO41" s="1240"/>
      <c r="DP41" s="1240"/>
      <c r="DQ41" s="1240"/>
      <c r="DR41" s="1240"/>
      <c r="DS41" s="1240"/>
      <c r="DT41" s="1240"/>
      <c r="DU41" s="1240"/>
      <c r="DV41" s="1240"/>
      <c r="DW41" s="1240"/>
      <c r="DX41" s="1240"/>
      <c r="DY41" s="1240"/>
      <c r="DZ41" s="1240"/>
      <c r="EA41" s="1240"/>
      <c r="EB41" s="1240"/>
      <c r="EC41" s="1240"/>
      <c r="ED41" s="1240"/>
      <c r="EE41" s="1240"/>
      <c r="EF41" s="1240"/>
      <c r="EG41" s="1240"/>
      <c r="EH41" s="1240"/>
      <c r="EI41" s="1240"/>
      <c r="EJ41" s="1240"/>
      <c r="EK41" s="1240"/>
      <c r="EL41" s="1240"/>
      <c r="EM41" s="1240"/>
      <c r="EN41" s="1240"/>
      <c r="EO41" s="1240"/>
      <c r="EP41" s="1240"/>
      <c r="EQ41" s="1240"/>
      <c r="ER41" s="1240"/>
      <c r="ES41" s="1240"/>
      <c r="ET41" s="1240"/>
      <c r="EU41" s="1240"/>
      <c r="EV41" s="1240"/>
      <c r="EW41" s="1240"/>
      <c r="EX41" s="1240"/>
      <c r="EY41" s="1240"/>
      <c r="EZ41" s="1240"/>
      <c r="FA41" s="1240"/>
      <c r="FB41" s="1240"/>
      <c r="FC41" s="1240"/>
      <c r="FD41" s="1240"/>
      <c r="FE41" s="1240"/>
      <c r="FF41" s="1240"/>
      <c r="FG41" s="1240"/>
      <c r="FH41" s="1240"/>
      <c r="FI41" s="1240"/>
      <c r="FJ41" s="1240"/>
      <c r="FK41" s="1240"/>
      <c r="FL41" s="1240"/>
      <c r="FM41" s="1240"/>
      <c r="FN41" s="1240"/>
      <c r="FO41" s="1240"/>
      <c r="FP41" s="1240"/>
      <c r="FQ41" s="1240"/>
      <c r="FR41" s="1240"/>
      <c r="FS41" s="1240"/>
      <c r="FT41" s="1240"/>
      <c r="FU41" s="1240"/>
      <c r="FV41" s="1240"/>
      <c r="FW41" s="1240"/>
      <c r="FX41" s="1240"/>
      <c r="FY41" s="1240"/>
      <c r="FZ41" s="1240"/>
      <c r="GA41" s="1240"/>
      <c r="GB41" s="1240"/>
      <c r="GC41" s="1240"/>
      <c r="GD41" s="1240"/>
      <c r="GE41" s="1240"/>
      <c r="GF41" s="1240"/>
      <c r="GG41" s="1240"/>
      <c r="GH41" s="1240"/>
      <c r="GI41" s="1240"/>
      <c r="GJ41" s="1240"/>
      <c r="GK41" s="1240"/>
      <c r="GL41" s="1240"/>
      <c r="GM41" s="1240"/>
      <c r="GN41" s="1240"/>
      <c r="GO41" s="1240"/>
      <c r="GP41" s="1240"/>
      <c r="GQ41" s="1240"/>
      <c r="GR41" s="1240"/>
      <c r="GS41" s="1240"/>
      <c r="GT41" s="1240"/>
      <c r="GU41" s="1240"/>
      <c r="GV41" s="1240"/>
      <c r="GW41" s="1240"/>
      <c r="GX41" s="1240"/>
      <c r="GY41" s="1240"/>
      <c r="GZ41" s="1240"/>
      <c r="HA41" s="1240"/>
      <c r="HB41" s="1240"/>
      <c r="HC41" s="1240"/>
      <c r="HD41" s="1240"/>
      <c r="HE41" s="1240"/>
      <c r="HF41" s="1240"/>
      <c r="HG41" s="1240"/>
      <c r="HH41" s="1240"/>
      <c r="HI41" s="1240"/>
      <c r="HJ41" s="1240"/>
      <c r="HK41" s="1240"/>
      <c r="HL41" s="1240"/>
      <c r="HM41" s="1240"/>
      <c r="HN41" s="1240"/>
      <c r="HO41" s="1240"/>
      <c r="HP41" s="1240"/>
      <c r="HQ41" s="1240"/>
      <c r="HR41" s="1240"/>
      <c r="HS41" s="1240"/>
      <c r="HT41" s="1240"/>
      <c r="HU41" s="1240"/>
      <c r="HV41" s="1240"/>
      <c r="HW41" s="1240"/>
      <c r="HX41" s="1240"/>
      <c r="HY41" s="1240"/>
      <c r="HZ41" s="1240"/>
      <c r="IA41" s="1240"/>
      <c r="IB41" s="1240"/>
      <c r="IC41" s="1240"/>
      <c r="ID41" s="1240"/>
      <c r="IE41" s="1240"/>
      <c r="IF41" s="1240"/>
      <c r="IG41" s="1240"/>
      <c r="IH41" s="1240"/>
      <c r="II41" s="1240"/>
      <c r="IJ41" s="1240"/>
      <c r="IK41" s="1240"/>
      <c r="IL41" s="1240"/>
      <c r="IM41" s="1240"/>
      <c r="IN41" s="1240"/>
      <c r="IO41" s="1240"/>
      <c r="IP41" s="1240"/>
      <c r="IQ41" s="1240"/>
      <c r="IR41" s="1240"/>
      <c r="IS41" s="1240"/>
      <c r="IT41" s="1240"/>
      <c r="IU41" s="1240"/>
      <c r="IV41" s="1240"/>
      <c r="IW41" s="1240"/>
      <c r="IX41" s="1240"/>
      <c r="IY41" s="1240"/>
      <c r="IZ41" s="1240"/>
      <c r="JA41" s="1240"/>
      <c r="JB41" s="1240"/>
    </row>
    <row r="42" spans="1:262" s="319" customFormat="1" ht="14.5" customHeight="1" x14ac:dyDescent="0.3">
      <c r="A42" s="1285" t="s">
        <v>475</v>
      </c>
      <c r="B42" s="1285"/>
      <c r="C42" s="1285"/>
      <c r="D42" s="1285"/>
      <c r="E42" s="1285"/>
      <c r="F42" s="1285"/>
      <c r="G42" s="1285"/>
      <c r="H42" s="1285"/>
      <c r="I42" s="1285"/>
      <c r="J42" s="1285"/>
      <c r="K42" s="1285"/>
      <c r="L42" s="1285"/>
      <c r="M42" s="1285"/>
      <c r="N42" s="1285"/>
      <c r="O42" s="1285"/>
      <c r="P42" s="1285"/>
      <c r="Q42" s="1285"/>
      <c r="R42" s="1285"/>
      <c r="S42" s="1285"/>
      <c r="T42" s="1285"/>
      <c r="U42" s="1285"/>
      <c r="V42" s="1285"/>
      <c r="W42" s="1285"/>
      <c r="X42" s="1285"/>
      <c r="Y42" s="1285"/>
      <c r="Z42" s="1285"/>
      <c r="AA42" s="1285"/>
      <c r="AB42" s="1285"/>
      <c r="AC42" s="1285"/>
      <c r="AD42" s="1285"/>
      <c r="AE42" s="1285"/>
      <c r="AF42" s="1285"/>
      <c r="AG42" s="1285"/>
      <c r="AH42" s="1285"/>
      <c r="AI42" s="1285"/>
      <c r="AJ42" s="1285"/>
      <c r="AK42" s="1285"/>
      <c r="AL42" s="1285"/>
      <c r="AM42" s="1285"/>
      <c r="AN42" s="1285"/>
      <c r="AO42" s="1285"/>
      <c r="AP42" s="1285"/>
      <c r="AQ42" s="1285"/>
      <c r="AR42" s="1285"/>
      <c r="AS42" s="1285"/>
      <c r="AT42" s="1285"/>
      <c r="AU42" s="1285"/>
      <c r="AV42" s="1285"/>
      <c r="AW42" s="1285"/>
      <c r="AX42" s="1285"/>
      <c r="AY42" s="1285"/>
      <c r="AZ42" s="1285"/>
      <c r="BA42" s="1285"/>
      <c r="BB42" s="1285"/>
      <c r="BC42" s="1285"/>
      <c r="BD42" s="1285"/>
      <c r="BE42" s="1285"/>
      <c r="BF42" s="1285"/>
      <c r="BG42" s="1285"/>
      <c r="BH42" s="1285"/>
      <c r="BI42" s="1285"/>
      <c r="BJ42" s="1285"/>
      <c r="BK42" s="1285"/>
      <c r="BL42" s="1285"/>
      <c r="BM42" s="1285"/>
      <c r="BN42" s="1285"/>
      <c r="BO42" s="1285"/>
      <c r="BP42" s="1285"/>
      <c r="BQ42" s="1285"/>
      <c r="BR42" s="1285"/>
      <c r="BS42" s="1285"/>
      <c r="BT42" s="1285"/>
      <c r="BU42" s="1285"/>
      <c r="BV42" s="1285"/>
      <c r="BW42" s="1285"/>
      <c r="BX42" s="1285"/>
      <c r="BY42" s="1285"/>
      <c r="BZ42" s="1285"/>
      <c r="CA42" s="1285"/>
      <c r="CB42" s="1285"/>
      <c r="CC42" s="1285"/>
      <c r="CD42" s="1285"/>
      <c r="CE42" s="1285"/>
      <c r="CF42" s="1285"/>
      <c r="CG42" s="1285"/>
      <c r="CH42" s="1285"/>
      <c r="CI42" s="1285"/>
      <c r="CJ42" s="1285"/>
      <c r="CK42" s="1285"/>
      <c r="CL42" s="1285"/>
      <c r="CM42" s="1285"/>
      <c r="CN42" s="1285"/>
      <c r="CO42" s="1285"/>
      <c r="CP42" s="1285"/>
      <c r="CQ42" s="1285"/>
      <c r="CR42" s="1285"/>
      <c r="CS42" s="1285"/>
      <c r="CT42" s="1285"/>
      <c r="CU42" s="1285"/>
      <c r="CV42" s="1285"/>
      <c r="CW42" s="1285"/>
      <c r="CX42" s="1285"/>
      <c r="CY42" s="1285"/>
      <c r="CZ42" s="1285"/>
      <c r="DA42" s="1285"/>
      <c r="DB42" s="1285"/>
      <c r="DC42" s="1285"/>
      <c r="DD42" s="1285"/>
      <c r="DE42" s="1285"/>
      <c r="DF42" s="1285"/>
      <c r="DG42" s="1285"/>
      <c r="DH42" s="1285"/>
      <c r="DI42" s="1285"/>
      <c r="DJ42" s="1285"/>
      <c r="DK42" s="1285"/>
      <c r="DL42" s="1285"/>
      <c r="DM42" s="1285"/>
      <c r="DN42" s="1285"/>
      <c r="DO42" s="1285"/>
      <c r="DP42" s="1285"/>
      <c r="DQ42" s="1285"/>
      <c r="DR42" s="1285"/>
      <c r="DS42" s="1285"/>
      <c r="DT42" s="1285"/>
      <c r="DU42" s="1285"/>
      <c r="DV42" s="1285"/>
      <c r="DW42" s="1285"/>
      <c r="DX42" s="1285"/>
      <c r="DY42" s="1285"/>
      <c r="DZ42" s="1285"/>
      <c r="EA42" s="1285"/>
      <c r="EB42" s="1285"/>
      <c r="EC42" s="1285"/>
      <c r="ED42" s="1285"/>
      <c r="EE42" s="1285"/>
      <c r="EF42" s="1285"/>
      <c r="EG42" s="1285"/>
      <c r="EH42" s="1285"/>
      <c r="EI42" s="1285"/>
      <c r="EJ42" s="1285"/>
      <c r="EK42" s="1285"/>
      <c r="EL42" s="1285"/>
      <c r="EM42" s="1285"/>
      <c r="EN42" s="1285"/>
      <c r="EO42" s="1285"/>
      <c r="EP42" s="1285"/>
      <c r="EQ42" s="1285"/>
      <c r="ER42" s="1285"/>
      <c r="ES42" s="1285"/>
      <c r="ET42" s="1285"/>
      <c r="EU42" s="1285"/>
      <c r="EV42" s="1285"/>
      <c r="EW42" s="1285"/>
      <c r="EX42" s="1285"/>
      <c r="EY42" s="1285"/>
      <c r="EZ42" s="1285"/>
      <c r="FA42" s="1285"/>
      <c r="FB42" s="1285"/>
      <c r="FC42" s="1285"/>
      <c r="FD42" s="1285"/>
      <c r="FE42" s="1285"/>
      <c r="FF42" s="1285"/>
      <c r="FG42" s="1285"/>
      <c r="FH42" s="1285"/>
      <c r="FI42" s="1285"/>
      <c r="FJ42" s="1285"/>
      <c r="FK42" s="1285"/>
      <c r="FL42" s="1285"/>
      <c r="FM42" s="1285"/>
      <c r="FN42" s="1285"/>
      <c r="FO42" s="1285"/>
      <c r="FP42" s="1285"/>
      <c r="FQ42" s="1285"/>
      <c r="FR42" s="1285"/>
      <c r="FS42" s="1285"/>
      <c r="FT42" s="1285"/>
      <c r="FU42" s="1285"/>
      <c r="FV42" s="1285"/>
      <c r="FW42" s="1285"/>
      <c r="FX42" s="1285"/>
      <c r="FY42" s="1285"/>
      <c r="FZ42" s="1285"/>
      <c r="GA42" s="1285"/>
      <c r="GB42" s="1285"/>
      <c r="GC42" s="1285"/>
      <c r="GD42" s="1285"/>
      <c r="GE42" s="1285"/>
      <c r="GF42" s="1285"/>
      <c r="GG42" s="1285"/>
      <c r="GH42" s="1285"/>
      <c r="GI42" s="1285"/>
      <c r="GJ42" s="1285"/>
      <c r="GK42" s="1285"/>
      <c r="GL42" s="1285"/>
      <c r="GM42" s="1285"/>
      <c r="GN42" s="1285"/>
      <c r="GO42" s="1285"/>
      <c r="GP42" s="1285"/>
      <c r="GQ42" s="1285"/>
      <c r="GR42" s="1285"/>
      <c r="GS42" s="1285"/>
      <c r="GT42" s="1285"/>
      <c r="GU42" s="1285"/>
      <c r="GV42" s="1285"/>
      <c r="GW42" s="1285"/>
      <c r="GX42" s="1285"/>
      <c r="GY42" s="1285"/>
      <c r="GZ42" s="1285"/>
      <c r="HA42" s="1285"/>
      <c r="HB42" s="1285"/>
      <c r="HC42" s="1285"/>
      <c r="HD42" s="1285"/>
      <c r="HE42" s="1285"/>
      <c r="HF42" s="1285"/>
      <c r="HG42" s="1285"/>
      <c r="HH42" s="1285"/>
      <c r="HI42" s="1285"/>
      <c r="HJ42" s="1285"/>
      <c r="HK42" s="1285"/>
      <c r="HL42" s="1285"/>
      <c r="HM42" s="1285"/>
      <c r="HN42" s="1285"/>
      <c r="HO42" s="1285"/>
      <c r="HP42" s="1285"/>
      <c r="HQ42" s="1285"/>
      <c r="HR42" s="1285"/>
      <c r="HS42" s="1285"/>
      <c r="HT42" s="1285"/>
      <c r="HU42" s="1285"/>
      <c r="HV42" s="1285"/>
      <c r="HW42" s="1285"/>
      <c r="HX42" s="1285"/>
      <c r="HY42" s="1285"/>
      <c r="HZ42" s="1285"/>
      <c r="IA42" s="1285"/>
      <c r="IB42" s="1285"/>
      <c r="IC42" s="1285"/>
      <c r="ID42" s="1285"/>
      <c r="IE42" s="1285"/>
      <c r="IF42" s="1285"/>
      <c r="IG42" s="1285"/>
      <c r="IH42" s="1285"/>
      <c r="II42" s="1285"/>
      <c r="IJ42" s="1285"/>
      <c r="IK42" s="1285"/>
      <c r="IL42" s="1285"/>
      <c r="IM42" s="1285"/>
      <c r="IN42" s="1285"/>
      <c r="IO42" s="1285"/>
      <c r="IP42" s="1285"/>
      <c r="IQ42" s="1285"/>
      <c r="IR42" s="1285"/>
      <c r="IS42" s="1285"/>
      <c r="IT42" s="1285"/>
      <c r="IU42" s="1285"/>
      <c r="IV42" s="1285"/>
      <c r="IW42" s="1285"/>
      <c r="IX42" s="1285"/>
      <c r="IY42" s="1285"/>
      <c r="IZ42" s="1285"/>
      <c r="JA42" s="1285"/>
      <c r="JB42" s="1285"/>
    </row>
    <row r="43" spans="1:262" s="111" customFormat="1" ht="14.5" customHeight="1" x14ac:dyDescent="0.3">
      <c r="A43" s="1240" t="s">
        <v>474</v>
      </c>
      <c r="B43" s="1240"/>
      <c r="C43" s="1240"/>
      <c r="D43" s="1240"/>
      <c r="E43" s="1240"/>
      <c r="F43" s="1240"/>
      <c r="G43" s="1240"/>
      <c r="H43" s="1240"/>
      <c r="I43" s="1240"/>
      <c r="J43" s="1240"/>
      <c r="K43" s="1240"/>
      <c r="L43" s="1240"/>
      <c r="M43" s="1240"/>
      <c r="N43" s="1240"/>
      <c r="O43" s="1240"/>
      <c r="P43" s="1240"/>
      <c r="Q43" s="1240"/>
      <c r="R43" s="1240"/>
      <c r="S43" s="1240"/>
      <c r="T43" s="1240"/>
      <c r="U43" s="1240"/>
      <c r="V43" s="1240"/>
      <c r="W43" s="1240"/>
      <c r="X43" s="1240"/>
      <c r="Y43" s="1240"/>
      <c r="Z43" s="1240"/>
      <c r="AA43" s="1240"/>
      <c r="AB43" s="1240"/>
      <c r="AC43" s="1240"/>
      <c r="AD43" s="1240"/>
      <c r="AE43" s="1240"/>
      <c r="AF43" s="1240"/>
      <c r="AG43" s="1240"/>
      <c r="AH43" s="1240"/>
      <c r="AI43" s="1240"/>
      <c r="AJ43" s="1240"/>
      <c r="AK43" s="1240"/>
      <c r="AL43" s="1240"/>
      <c r="AM43" s="1240"/>
      <c r="AN43" s="1240"/>
      <c r="AO43" s="1240"/>
      <c r="AP43" s="1240"/>
      <c r="AQ43" s="1240"/>
      <c r="AR43" s="1240"/>
      <c r="AS43" s="1240"/>
      <c r="AT43" s="1240"/>
      <c r="AU43" s="1240"/>
      <c r="AV43" s="1240"/>
      <c r="AW43" s="1240"/>
      <c r="AX43" s="1240"/>
      <c r="AY43" s="1240"/>
      <c r="AZ43" s="1240"/>
      <c r="BA43" s="1240"/>
      <c r="BB43" s="1240"/>
      <c r="BC43" s="1240"/>
      <c r="BD43" s="1240"/>
      <c r="BE43" s="1240"/>
      <c r="BF43" s="1240"/>
      <c r="BG43" s="1240"/>
      <c r="BH43" s="1240"/>
      <c r="BI43" s="1240"/>
      <c r="BJ43" s="1240"/>
      <c r="BK43" s="1240"/>
      <c r="BL43" s="1240"/>
      <c r="BM43" s="1240"/>
      <c r="BN43" s="1240"/>
      <c r="BO43" s="1240"/>
      <c r="BP43" s="1240"/>
      <c r="BQ43" s="1240"/>
      <c r="BR43" s="1240"/>
      <c r="BS43" s="1240"/>
      <c r="BT43" s="1240"/>
      <c r="BU43" s="1240"/>
      <c r="BV43" s="1240"/>
      <c r="BW43" s="1240"/>
      <c r="BX43" s="1240"/>
      <c r="BY43" s="1240"/>
      <c r="BZ43" s="1240"/>
      <c r="CA43" s="1240"/>
      <c r="CB43" s="1240"/>
      <c r="CC43" s="1240"/>
      <c r="CD43" s="1240"/>
      <c r="CE43" s="1240"/>
      <c r="CF43" s="1240"/>
      <c r="CG43" s="1240"/>
      <c r="CH43" s="1240"/>
      <c r="CI43" s="1240"/>
      <c r="CJ43" s="1240"/>
      <c r="CK43" s="1240"/>
      <c r="CL43" s="1240"/>
      <c r="CM43" s="1240"/>
      <c r="CN43" s="1240"/>
      <c r="CO43" s="1240"/>
      <c r="CP43" s="1240"/>
      <c r="CQ43" s="1240"/>
      <c r="CR43" s="1240"/>
      <c r="CS43" s="1240"/>
      <c r="CT43" s="1240"/>
      <c r="CU43" s="1240"/>
      <c r="CV43" s="1240"/>
      <c r="CW43" s="1240"/>
      <c r="CX43" s="1240"/>
      <c r="CY43" s="1240"/>
      <c r="CZ43" s="1240"/>
      <c r="DA43" s="1240"/>
      <c r="DB43" s="1240"/>
      <c r="DC43" s="1240"/>
      <c r="DD43" s="1240"/>
      <c r="DE43" s="1240"/>
      <c r="DF43" s="1240"/>
      <c r="DG43" s="1240"/>
      <c r="DH43" s="1240"/>
      <c r="DI43" s="1240"/>
      <c r="DJ43" s="1240"/>
      <c r="DK43" s="1240"/>
      <c r="DL43" s="1240"/>
      <c r="DM43" s="1240"/>
      <c r="DN43" s="1240"/>
      <c r="DO43" s="1240"/>
      <c r="DP43" s="1240"/>
      <c r="DQ43" s="1240"/>
      <c r="DR43" s="1240"/>
      <c r="DS43" s="1240"/>
      <c r="DT43" s="1240"/>
      <c r="DU43" s="1240"/>
      <c r="DV43" s="1240"/>
      <c r="DW43" s="1240"/>
      <c r="DX43" s="1240"/>
      <c r="DY43" s="1240"/>
      <c r="DZ43" s="1240"/>
      <c r="EA43" s="1240"/>
      <c r="EB43" s="1240"/>
      <c r="EC43" s="1240"/>
      <c r="ED43" s="1240"/>
      <c r="EE43" s="1240"/>
      <c r="EF43" s="1240"/>
      <c r="EG43" s="1240"/>
      <c r="EH43" s="1240"/>
      <c r="EI43" s="1240"/>
      <c r="EJ43" s="1240"/>
      <c r="EK43" s="1240"/>
      <c r="EL43" s="1240"/>
      <c r="EM43" s="1240"/>
      <c r="EN43" s="1240"/>
      <c r="EO43" s="1240"/>
      <c r="EP43" s="1240"/>
      <c r="EQ43" s="1240"/>
      <c r="ER43" s="1240"/>
      <c r="ES43" s="1240"/>
      <c r="ET43" s="1240"/>
      <c r="EU43" s="1240"/>
      <c r="EV43" s="1240"/>
      <c r="EW43" s="1240"/>
      <c r="EX43" s="1240"/>
      <c r="EY43" s="1240"/>
      <c r="EZ43" s="1240"/>
      <c r="FA43" s="1240"/>
      <c r="FB43" s="1240"/>
      <c r="FC43" s="1240"/>
      <c r="FD43" s="1240"/>
      <c r="FE43" s="1240"/>
      <c r="FF43" s="1240"/>
      <c r="FG43" s="1240"/>
      <c r="FH43" s="1240"/>
      <c r="FI43" s="1240"/>
      <c r="FJ43" s="1240"/>
      <c r="FK43" s="1240"/>
      <c r="FL43" s="1240"/>
      <c r="FM43" s="1240"/>
      <c r="FN43" s="1240"/>
      <c r="FO43" s="1240"/>
      <c r="FP43" s="1240"/>
      <c r="FQ43" s="1240"/>
      <c r="FR43" s="1240"/>
      <c r="FS43" s="1240"/>
      <c r="FT43" s="1240"/>
      <c r="FU43" s="1240"/>
      <c r="FV43" s="1240"/>
      <c r="FW43" s="1240"/>
      <c r="FX43" s="1240"/>
      <c r="FY43" s="1240"/>
      <c r="FZ43" s="1240"/>
      <c r="GA43" s="1240"/>
      <c r="GB43" s="1240"/>
      <c r="GC43" s="1240"/>
      <c r="GD43" s="1240"/>
      <c r="GE43" s="1240"/>
      <c r="GF43" s="1240"/>
      <c r="GG43" s="1240"/>
      <c r="GH43" s="1240"/>
      <c r="GI43" s="1240"/>
      <c r="GJ43" s="1240"/>
      <c r="GK43" s="1240"/>
      <c r="GL43" s="1240"/>
      <c r="GM43" s="1240"/>
      <c r="GN43" s="1240"/>
      <c r="GO43" s="1240"/>
      <c r="GP43" s="1240"/>
      <c r="GQ43" s="1240"/>
      <c r="GR43" s="1240"/>
      <c r="GS43" s="1240"/>
      <c r="GT43" s="1240"/>
      <c r="GU43" s="1240"/>
      <c r="GV43" s="1240"/>
      <c r="GW43" s="1240"/>
      <c r="GX43" s="1240"/>
      <c r="GY43" s="1240"/>
      <c r="GZ43" s="1240"/>
      <c r="HA43" s="1240"/>
      <c r="HB43" s="1240"/>
      <c r="HC43" s="1240"/>
      <c r="HD43" s="1240"/>
      <c r="HE43" s="1240"/>
      <c r="HF43" s="1240"/>
      <c r="HG43" s="1240"/>
      <c r="HH43" s="1240"/>
      <c r="HI43" s="1240"/>
      <c r="HJ43" s="1240"/>
      <c r="HK43" s="1240"/>
      <c r="HL43" s="1240"/>
      <c r="HM43" s="1240"/>
      <c r="HN43" s="1240"/>
      <c r="HO43" s="1240"/>
      <c r="HP43" s="1240"/>
      <c r="HQ43" s="1240"/>
      <c r="HR43" s="1240"/>
      <c r="HS43" s="1240"/>
      <c r="HT43" s="1240"/>
      <c r="HU43" s="1240"/>
      <c r="HV43" s="1240"/>
      <c r="HW43" s="1240"/>
      <c r="HX43" s="1240"/>
      <c r="HY43" s="1240"/>
      <c r="HZ43" s="1240"/>
      <c r="IA43" s="1240"/>
      <c r="IB43" s="1240"/>
      <c r="IC43" s="1240"/>
      <c r="ID43" s="1240"/>
      <c r="IE43" s="1240"/>
      <c r="IF43" s="1240"/>
      <c r="IG43" s="1240"/>
      <c r="IH43" s="1240"/>
      <c r="II43" s="1240"/>
      <c r="IJ43" s="1240"/>
      <c r="IK43" s="1240"/>
      <c r="IL43" s="1240"/>
      <c r="IM43" s="1240"/>
      <c r="IN43" s="1240"/>
      <c r="IO43" s="1240"/>
      <c r="IP43" s="1240"/>
      <c r="IQ43" s="1240"/>
      <c r="IR43" s="1240"/>
      <c r="IS43" s="1240"/>
      <c r="IT43" s="1240"/>
      <c r="IU43" s="1240"/>
      <c r="IV43" s="1240"/>
      <c r="IW43" s="1240"/>
      <c r="IX43" s="1240"/>
      <c r="IY43" s="1240"/>
      <c r="IZ43" s="1240"/>
      <c r="JA43" s="1240"/>
      <c r="JB43" s="1240"/>
    </row>
    <row r="44" spans="1:262" x14ac:dyDescent="0.35">
      <c r="A44" s="110"/>
    </row>
    <row r="45" spans="1:262" x14ac:dyDescent="0.35">
      <c r="DH45" s="318"/>
      <c r="DI45" s="318"/>
      <c r="DJ45" s="318"/>
      <c r="DK45" s="318"/>
      <c r="DL45" s="318"/>
      <c r="DM45" s="318"/>
      <c r="DN45" s="318"/>
      <c r="DO45" s="318"/>
      <c r="DP45" s="318"/>
    </row>
    <row r="46" spans="1:262" x14ac:dyDescent="0.35">
      <c r="CU46" s="317"/>
      <c r="CV46" s="317"/>
      <c r="CW46" s="317"/>
      <c r="CX46" s="317"/>
      <c r="CY46" s="317"/>
      <c r="CZ46" s="317"/>
      <c r="DA46" s="317"/>
      <c r="DB46" s="317"/>
      <c r="DC46" s="317"/>
      <c r="DD46" s="317"/>
      <c r="DE46" s="317"/>
      <c r="DF46" s="317"/>
      <c r="DG46" s="317"/>
      <c r="DH46" s="317"/>
      <c r="DI46" s="317"/>
      <c r="DJ46" s="317"/>
      <c r="DK46" s="317"/>
      <c r="DL46" s="317"/>
      <c r="DM46" s="317"/>
      <c r="DN46" s="317"/>
      <c r="DO46" s="317"/>
      <c r="DP46" s="317"/>
      <c r="DQ46" s="317"/>
      <c r="DR46" s="317"/>
      <c r="DS46" s="317"/>
    </row>
    <row r="49" spans="99:123" x14ac:dyDescent="0.35">
      <c r="CU49" s="317"/>
      <c r="CV49" s="317"/>
      <c r="CW49" s="317"/>
      <c r="CX49" s="317"/>
      <c r="CY49" s="317"/>
      <c r="CZ49" s="317"/>
      <c r="DA49" s="317"/>
      <c r="DB49" s="317"/>
      <c r="DC49" s="317"/>
      <c r="DD49" s="317"/>
      <c r="DE49" s="317"/>
      <c r="DF49" s="317"/>
      <c r="DG49" s="317"/>
      <c r="DH49" s="317"/>
      <c r="DI49" s="317"/>
      <c r="DJ49" s="317"/>
      <c r="DK49" s="317"/>
      <c r="DL49" s="317"/>
      <c r="DM49" s="317"/>
      <c r="DN49" s="317"/>
      <c r="DO49" s="317"/>
      <c r="DP49" s="317"/>
      <c r="DQ49" s="317"/>
      <c r="DR49" s="317"/>
      <c r="DS49" s="317"/>
    </row>
  </sheetData>
  <mergeCells count="157">
    <mergeCell ref="IW4:IY4"/>
    <mergeCell ref="IW5:IY5"/>
    <mergeCell ref="IQ5:IS5"/>
    <mergeCell ref="HY5:IA5"/>
    <mergeCell ref="IB5:ID5"/>
    <mergeCell ref="IE5:IG5"/>
    <mergeCell ref="IH5:IJ5"/>
    <mergeCell ref="IK5:IM5"/>
    <mergeCell ref="HA5:HC5"/>
    <mergeCell ref="HD5:HF5"/>
    <mergeCell ref="IN5:IP5"/>
    <mergeCell ref="HG5:HI5"/>
    <mergeCell ref="HJ5:HL5"/>
    <mergeCell ref="HM5:HO5"/>
    <mergeCell ref="HP5:HR5"/>
    <mergeCell ref="HS5:HU5"/>
    <mergeCell ref="HV5:HX5"/>
    <mergeCell ref="IQ4:IS4"/>
    <mergeCell ref="HY4:IA4"/>
    <mergeCell ref="IB4:ID4"/>
    <mergeCell ref="IE4:IG4"/>
    <mergeCell ref="IH4:IJ4"/>
    <mergeCell ref="IK4:IM4"/>
    <mergeCell ref="IN4:IP4"/>
    <mergeCell ref="EM5:EO5"/>
    <mergeCell ref="EP5:ER5"/>
    <mergeCell ref="ES5:EU5"/>
    <mergeCell ref="EV5:EX5"/>
    <mergeCell ref="GL5:GN5"/>
    <mergeCell ref="GO5:GQ5"/>
    <mergeCell ref="GR5:GT5"/>
    <mergeCell ref="GU5:GW5"/>
    <mergeCell ref="GX5:GZ5"/>
    <mergeCell ref="FQ5:FS5"/>
    <mergeCell ref="FT5:FV5"/>
    <mergeCell ref="FW5:FY5"/>
    <mergeCell ref="FZ5:GB5"/>
    <mergeCell ref="GC5:GE5"/>
    <mergeCell ref="GF5:GH5"/>
    <mergeCell ref="GI5:GK5"/>
    <mergeCell ref="B5:D5"/>
    <mergeCell ref="E5:G5"/>
    <mergeCell ref="H5:J5"/>
    <mergeCell ref="K5:M5"/>
    <mergeCell ref="N5:P5"/>
    <mergeCell ref="Q5:S5"/>
    <mergeCell ref="T5:V5"/>
    <mergeCell ref="W5:Y5"/>
    <mergeCell ref="Z5:AB5"/>
    <mergeCell ref="HG4:HI4"/>
    <mergeCell ref="HJ4:HL4"/>
    <mergeCell ref="HM4:HO4"/>
    <mergeCell ref="HP4:HR4"/>
    <mergeCell ref="HS4:HU4"/>
    <mergeCell ref="HV4:HX4"/>
    <mergeCell ref="GO4:GQ4"/>
    <mergeCell ref="GR4:GT4"/>
    <mergeCell ref="GU4:GW4"/>
    <mergeCell ref="GX4:GZ4"/>
    <mergeCell ref="HA4:HC4"/>
    <mergeCell ref="HD4:HF4"/>
    <mergeCell ref="GF4:GH4"/>
    <mergeCell ref="GI4:GK4"/>
    <mergeCell ref="GL4:GN4"/>
    <mergeCell ref="BJ5:BL5"/>
    <mergeCell ref="AC5:AE5"/>
    <mergeCell ref="AF5:AH5"/>
    <mergeCell ref="AI5:AK5"/>
    <mergeCell ref="AL5:AN5"/>
    <mergeCell ref="AO5:AQ5"/>
    <mergeCell ref="EV4:EX4"/>
    <mergeCell ref="EY4:FA4"/>
    <mergeCell ref="FB4:FD4"/>
    <mergeCell ref="AR5:AT5"/>
    <mergeCell ref="CE5:CG5"/>
    <mergeCell ref="CH5:CJ5"/>
    <mergeCell ref="CK5:CM5"/>
    <mergeCell ref="CN5:CP5"/>
    <mergeCell ref="CQ5:CS5"/>
    <mergeCell ref="CT5:CV5"/>
    <mergeCell ref="BM5:BO5"/>
    <mergeCell ref="BP5:BR5"/>
    <mergeCell ref="DU5:DW5"/>
    <mergeCell ref="DX5:DZ5"/>
    <mergeCell ref="EA5:EC5"/>
    <mergeCell ref="CB5:CD5"/>
    <mergeCell ref="DO5:DQ5"/>
    <mergeCell ref="DR5:DT5"/>
    <mergeCell ref="FH4:FJ4"/>
    <mergeCell ref="FK4:FM4"/>
    <mergeCell ref="FN4:FP4"/>
    <mergeCell ref="FW4:FY4"/>
    <mergeCell ref="FZ4:GB4"/>
    <mergeCell ref="GC4:GE4"/>
    <mergeCell ref="ED5:EF5"/>
    <mergeCell ref="CW5:CY5"/>
    <mergeCell ref="CZ5:DB5"/>
    <mergeCell ref="DC5:DE5"/>
    <mergeCell ref="DF5:DH5"/>
    <mergeCell ref="DI5:DK5"/>
    <mergeCell ref="DL5:DN5"/>
    <mergeCell ref="EY5:FA5"/>
    <mergeCell ref="FB5:FD5"/>
    <mergeCell ref="FE5:FG5"/>
    <mergeCell ref="FH5:FJ5"/>
    <mergeCell ref="FK5:FM5"/>
    <mergeCell ref="FN5:FP5"/>
    <mergeCell ref="EG5:EI5"/>
    <mergeCell ref="EJ5:EL5"/>
    <mergeCell ref="FQ4:FS4"/>
    <mergeCell ref="FT4:FV4"/>
    <mergeCell ref="ES4:EU4"/>
    <mergeCell ref="A4:A6"/>
    <mergeCell ref="B4:D4"/>
    <mergeCell ref="E4:G4"/>
    <mergeCell ref="H4:J4"/>
    <mergeCell ref="K4:M4"/>
    <mergeCell ref="N4:P4"/>
    <mergeCell ref="DC4:DE4"/>
    <mergeCell ref="DF4:DH4"/>
    <mergeCell ref="DI4:DK4"/>
    <mergeCell ref="BM4:BO4"/>
    <mergeCell ref="CN4:CP4"/>
    <mergeCell ref="CQ4:CS4"/>
    <mergeCell ref="CT4:CV4"/>
    <mergeCell ref="AU5:AW5"/>
    <mergeCell ref="AX5:AZ5"/>
    <mergeCell ref="BA5:BC5"/>
    <mergeCell ref="BD5:BF5"/>
    <mergeCell ref="BG5:BI5"/>
    <mergeCell ref="BS5:BU5"/>
    <mergeCell ref="BV5:BX5"/>
    <mergeCell ref="BY5:CA5"/>
    <mergeCell ref="A1:JB1"/>
    <mergeCell ref="A2:JB2"/>
    <mergeCell ref="A40:JB40"/>
    <mergeCell ref="A41:JB41"/>
    <mergeCell ref="A42:JB42"/>
    <mergeCell ref="A43:JB43"/>
    <mergeCell ref="IZ4:JB4"/>
    <mergeCell ref="IZ5:JB5"/>
    <mergeCell ref="CW4:CY4"/>
    <mergeCell ref="CZ4:DB4"/>
    <mergeCell ref="EM4:EO4"/>
    <mergeCell ref="EP4:ER4"/>
    <mergeCell ref="DU4:DW4"/>
    <mergeCell ref="DX4:DZ4"/>
    <mergeCell ref="EA4:EC4"/>
    <mergeCell ref="ED4:EF4"/>
    <mergeCell ref="EG4:EI4"/>
    <mergeCell ref="EJ4:EL4"/>
    <mergeCell ref="IT4:IV4"/>
    <mergeCell ref="IT5:IV5"/>
    <mergeCell ref="DL4:DN4"/>
    <mergeCell ref="DO4:DQ4"/>
    <mergeCell ref="DR4:DT4"/>
    <mergeCell ref="FE4:FG4"/>
  </mergeCells>
  <pageMargins left="0.45" right="0.25" top="0.56999999999999995" bottom="0.34" header="0.25" footer="0.31496062992126"/>
  <pageSetup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F39"/>
  <sheetViews>
    <sheetView zoomScale="110" zoomScaleNormal="110" workbookViewId="0">
      <pane xSplit="82" ySplit="6" topLeftCell="GX7" activePane="bottomRight" state="frozen"/>
      <selection pane="topRight" activeCell="CE1" sqref="CE1"/>
      <selection pane="bottomLeft" activeCell="A7" sqref="A7"/>
      <selection pane="bottomRight" activeCell="HS60" sqref="HS60"/>
    </sheetView>
  </sheetViews>
  <sheetFormatPr defaultColWidth="9.08984375" defaultRowHeight="13" x14ac:dyDescent="0.3"/>
  <cols>
    <col min="1" max="1" width="27.36328125" style="1" customWidth="1"/>
    <col min="2" max="2" width="7.453125" style="1" hidden="1" customWidth="1"/>
    <col min="3" max="3" width="8" style="1" hidden="1" customWidth="1"/>
    <col min="4" max="4" width="6.6328125" style="1" hidden="1" customWidth="1"/>
    <col min="5" max="5" width="7.6328125" style="1" hidden="1" customWidth="1"/>
    <col min="6" max="6" width="8.453125" style="1" hidden="1" customWidth="1"/>
    <col min="7" max="7" width="7" style="1" hidden="1" customWidth="1"/>
    <col min="8" max="8" width="7.90625" style="1" hidden="1" customWidth="1"/>
    <col min="9" max="9" width="8.6328125" style="1" hidden="1" customWidth="1"/>
    <col min="10" max="10" width="6.453125" style="1" hidden="1" customWidth="1"/>
    <col min="11" max="11" width="7.36328125" style="1" hidden="1" customWidth="1"/>
    <col min="12" max="12" width="8.36328125" style="1" hidden="1" customWidth="1"/>
    <col min="13" max="13" width="6.453125" style="1" hidden="1" customWidth="1"/>
    <col min="14" max="14" width="7.453125" style="1" hidden="1" customWidth="1"/>
    <col min="15" max="15" width="7.90625" style="1" hidden="1" customWidth="1"/>
    <col min="16" max="16" width="6.6328125" style="1" hidden="1" customWidth="1"/>
    <col min="17" max="17" width="6.90625" style="1" hidden="1" customWidth="1"/>
    <col min="18" max="18" width="10" style="1" hidden="1" customWidth="1"/>
    <col min="19" max="19" width="6.90625" style="1" hidden="1" customWidth="1"/>
    <col min="20" max="20" width="7.36328125" style="1" hidden="1" customWidth="1"/>
    <col min="21" max="21" width="7.6328125" style="1" hidden="1" customWidth="1"/>
    <col min="22" max="22" width="7.36328125" style="1" hidden="1" customWidth="1"/>
    <col min="23" max="23" width="8.36328125" style="1" hidden="1" customWidth="1"/>
    <col min="24" max="24" width="8.453125" style="1" hidden="1" customWidth="1"/>
    <col min="25" max="25" width="6.90625" style="1" hidden="1" customWidth="1"/>
    <col min="26" max="26" width="8.36328125" style="1" hidden="1" customWidth="1"/>
    <col min="27" max="27" width="8.6328125" style="1" hidden="1" customWidth="1"/>
    <col min="28" max="28" width="7.453125" style="1" hidden="1" customWidth="1"/>
    <col min="29" max="29" width="7.36328125" style="2" hidden="1" customWidth="1"/>
    <col min="30" max="30" width="8.36328125" style="2" hidden="1" customWidth="1"/>
    <col min="31" max="31" width="7.36328125" style="2" hidden="1" customWidth="1"/>
    <col min="32" max="32" width="7.90625" style="2" hidden="1" customWidth="1"/>
    <col min="33" max="33" width="9.08984375" style="2" hidden="1" customWidth="1"/>
    <col min="34" max="34" width="7.08984375" style="2" hidden="1" customWidth="1"/>
    <col min="35" max="35" width="8.08984375" style="2" hidden="1" customWidth="1"/>
    <col min="36" max="36" width="8.6328125" style="2" hidden="1" customWidth="1"/>
    <col min="37" max="37" width="6.6328125" style="2" hidden="1" customWidth="1"/>
    <col min="38" max="38" width="7.453125" style="1" hidden="1" customWidth="1"/>
    <col min="39" max="39" width="8.36328125" style="1" hidden="1" customWidth="1"/>
    <col min="40" max="40" width="7.90625" style="1" hidden="1" customWidth="1"/>
    <col min="41" max="41" width="7.453125" style="1" hidden="1" customWidth="1"/>
    <col min="42" max="42" width="8.08984375" style="1" hidden="1" customWidth="1"/>
    <col min="43" max="43" width="6.36328125" style="1" hidden="1" customWidth="1"/>
    <col min="44" max="44" width="7.90625" style="1" hidden="1" customWidth="1"/>
    <col min="45" max="45" width="8.6328125" style="1" hidden="1" customWidth="1"/>
    <col min="46" max="46" width="7.453125" style="1" hidden="1" customWidth="1"/>
    <col min="47" max="47" width="7" style="1" hidden="1" customWidth="1"/>
    <col min="48" max="48" width="8.453125" style="1" hidden="1" customWidth="1"/>
    <col min="49" max="49" width="5.90625" style="1" hidden="1" customWidth="1"/>
    <col min="50" max="50" width="7.453125" style="1" hidden="1" customWidth="1"/>
    <col min="51" max="51" width="8.36328125" style="1" hidden="1" customWidth="1"/>
    <col min="52" max="52" width="5.6328125" style="1" hidden="1" customWidth="1"/>
    <col min="53" max="53" width="8.36328125" style="1" hidden="1" customWidth="1"/>
    <col min="54" max="54" width="8.453125" style="1" hidden="1" customWidth="1"/>
    <col min="55" max="55" width="6.453125" style="1" hidden="1" customWidth="1"/>
    <col min="56" max="56" width="7.90625" style="1" hidden="1" customWidth="1"/>
    <col min="57" max="57" width="8.36328125" style="1" hidden="1" customWidth="1"/>
    <col min="58" max="58" width="5.90625" style="1" hidden="1" customWidth="1"/>
    <col min="59" max="60" width="7.90625" style="1" hidden="1" customWidth="1"/>
    <col min="61" max="61" width="5.453125" style="1" hidden="1" customWidth="1"/>
    <col min="62" max="62" width="7.453125" style="1" hidden="1" customWidth="1"/>
    <col min="63" max="63" width="7.90625" style="1" hidden="1" customWidth="1"/>
    <col min="64" max="64" width="5.453125" style="1" hidden="1" customWidth="1"/>
    <col min="65" max="66" width="7.6328125" style="1" hidden="1" customWidth="1"/>
    <col min="67" max="67" width="5.36328125" style="1" hidden="1" customWidth="1"/>
    <col min="68" max="68" width="7.453125" style="1" hidden="1" customWidth="1"/>
    <col min="69" max="69" width="9.08984375" style="1" hidden="1" customWidth="1"/>
    <col min="70" max="70" width="5.453125" style="1" hidden="1" customWidth="1"/>
    <col min="71" max="71" width="7.453125" style="1" hidden="1" customWidth="1"/>
    <col min="72" max="72" width="9.08984375" style="1" hidden="1" customWidth="1"/>
    <col min="73" max="73" width="5.6328125" style="1" hidden="1" customWidth="1"/>
    <col min="74" max="74" width="7.453125" style="1" hidden="1" customWidth="1"/>
    <col min="75" max="75" width="9.08984375" style="1" hidden="1" customWidth="1"/>
    <col min="76" max="76" width="7" style="1" hidden="1" customWidth="1"/>
    <col min="77" max="77" width="7.6328125" style="1" hidden="1" customWidth="1"/>
    <col min="78" max="78" width="7.453125" style="1" hidden="1" customWidth="1"/>
    <col min="79" max="79" width="5" style="1" hidden="1" customWidth="1"/>
    <col min="80" max="80" width="7.6328125" style="1" hidden="1" customWidth="1"/>
    <col min="81" max="81" width="7.453125" style="1" hidden="1" customWidth="1"/>
    <col min="82" max="82" width="4.36328125" style="1" hidden="1" customWidth="1"/>
    <col min="83" max="83" width="7" style="1" hidden="1" customWidth="1"/>
    <col min="84" max="84" width="7.453125" style="1" hidden="1" customWidth="1"/>
    <col min="85" max="85" width="5.36328125" style="1" hidden="1" customWidth="1"/>
    <col min="86" max="86" width="6.6328125" style="1" hidden="1" customWidth="1"/>
    <col min="87" max="87" width="7" style="1" hidden="1" customWidth="1"/>
    <col min="88" max="88" width="4.90625" style="1" hidden="1" customWidth="1"/>
    <col min="89" max="90" width="7" style="1" hidden="1" customWidth="1"/>
    <col min="91" max="91" width="4.453125" style="1" hidden="1" customWidth="1"/>
    <col min="92" max="93" width="7.453125" style="1" hidden="1" customWidth="1"/>
    <col min="94" max="94" width="5.08984375" style="1" hidden="1" customWidth="1"/>
    <col min="95" max="95" width="7" style="1" hidden="1" customWidth="1"/>
    <col min="96" max="96" width="7.453125" style="1" hidden="1" customWidth="1"/>
    <col min="97" max="97" width="5.453125" style="1" hidden="1" customWidth="1"/>
    <col min="98" max="99" width="7.36328125" style="1" hidden="1" customWidth="1"/>
    <col min="100" max="100" width="6" style="1" hidden="1" customWidth="1"/>
    <col min="101" max="102" width="7" style="1" hidden="1" customWidth="1"/>
    <col min="103" max="103" width="5.6328125" style="1" hidden="1" customWidth="1"/>
    <col min="104" max="104" width="6.90625" style="1" hidden="1" customWidth="1"/>
    <col min="105" max="105" width="7" style="1" hidden="1" customWidth="1"/>
    <col min="106" max="106" width="5.453125" style="1" hidden="1" customWidth="1"/>
    <col min="107" max="107" width="6.453125" style="1" hidden="1" customWidth="1"/>
    <col min="108" max="108" width="7.08984375" style="1" hidden="1" customWidth="1"/>
    <col min="109" max="109" width="5.36328125" style="1" hidden="1" customWidth="1"/>
    <col min="110" max="110" width="6.90625" style="1" hidden="1" customWidth="1"/>
    <col min="111" max="111" width="7" style="1" hidden="1" customWidth="1"/>
    <col min="112" max="112" width="5.6328125" style="1" hidden="1" customWidth="1"/>
    <col min="113" max="113" width="7.08984375" style="1" hidden="1" customWidth="1"/>
    <col min="114" max="114" width="7.36328125" style="1" hidden="1" customWidth="1"/>
    <col min="115" max="115" width="5.90625" style="1" hidden="1" customWidth="1"/>
    <col min="116" max="116" width="6.453125" style="1" hidden="1" customWidth="1"/>
    <col min="117" max="117" width="7.08984375" style="1" hidden="1" customWidth="1"/>
    <col min="118" max="118" width="5.453125" style="1" hidden="1" customWidth="1"/>
    <col min="119" max="119" width="7" style="1" hidden="1" customWidth="1"/>
    <col min="120" max="120" width="7.453125" style="1" hidden="1" customWidth="1"/>
    <col min="121" max="121" width="5.453125" style="1" hidden="1" customWidth="1"/>
    <col min="122" max="122" width="7" style="1" hidden="1" customWidth="1"/>
    <col min="123" max="123" width="7.453125" style="1" hidden="1" customWidth="1"/>
    <col min="124" max="124" width="5.453125" style="1" hidden="1" customWidth="1"/>
    <col min="125" max="125" width="7" style="1" hidden="1" customWidth="1"/>
    <col min="126" max="126" width="7.08984375" style="1" hidden="1" customWidth="1"/>
    <col min="127" max="127" width="5" style="1" hidden="1" customWidth="1"/>
    <col min="128" max="128" width="7.453125" style="1" hidden="1" customWidth="1"/>
    <col min="129" max="129" width="7.08984375" style="1" hidden="1" customWidth="1"/>
    <col min="130" max="130" width="5.08984375" style="1" hidden="1" customWidth="1"/>
    <col min="131" max="132" width="7.08984375" style="1" hidden="1" customWidth="1"/>
    <col min="133" max="133" width="5.08984375" style="1" hidden="1" customWidth="1"/>
    <col min="134" max="134" width="7.36328125" style="1" hidden="1" customWidth="1"/>
    <col min="135" max="135" width="7" style="1" hidden="1" customWidth="1"/>
    <col min="136" max="136" width="5" style="1" hidden="1" customWidth="1"/>
    <col min="137" max="137" width="7.36328125" style="1" hidden="1" customWidth="1"/>
    <col min="138" max="138" width="7.453125" style="1" hidden="1" customWidth="1"/>
    <col min="139" max="139" width="5.08984375" style="1" hidden="1" customWidth="1"/>
    <col min="140" max="140" width="7.6328125" style="1" hidden="1" customWidth="1"/>
    <col min="141" max="141" width="7.453125" style="1" hidden="1" customWidth="1"/>
    <col min="142" max="142" width="4.453125" style="1" hidden="1" customWidth="1"/>
    <col min="143" max="143" width="7.36328125" style="1" hidden="1" customWidth="1"/>
    <col min="144" max="144" width="7.453125" style="1" hidden="1" customWidth="1"/>
    <col min="145" max="145" width="4.453125" style="1" hidden="1" customWidth="1"/>
    <col min="146" max="146" width="7.6328125" style="1" hidden="1" customWidth="1"/>
    <col min="147" max="147" width="8" style="1" hidden="1" customWidth="1"/>
    <col min="148" max="148" width="5" style="1" hidden="1" customWidth="1"/>
    <col min="149" max="149" width="7.6328125" style="1" hidden="1" customWidth="1"/>
    <col min="150" max="150" width="8.36328125" style="1" hidden="1" customWidth="1"/>
    <col min="151" max="151" width="4.90625" style="1" hidden="1" customWidth="1"/>
    <col min="152" max="153" width="7.90625" style="1" hidden="1" customWidth="1"/>
    <col min="154" max="154" width="5" style="1" hidden="1" customWidth="1"/>
    <col min="155" max="155" width="7.36328125" style="1" hidden="1" customWidth="1"/>
    <col min="156" max="156" width="8.453125" style="1" hidden="1" customWidth="1"/>
    <col min="157" max="157" width="5.08984375" style="1" hidden="1" customWidth="1"/>
    <col min="158" max="158" width="7.36328125" style="1" hidden="1" customWidth="1"/>
    <col min="159" max="159" width="7" style="1" hidden="1" customWidth="1"/>
    <col min="160" max="160" width="5.453125" style="1" hidden="1" customWidth="1"/>
    <col min="161" max="161" width="7.6328125" style="1" hidden="1" customWidth="1"/>
    <col min="162" max="162" width="7.453125" style="1" hidden="1" customWidth="1"/>
    <col min="163" max="163" width="5.453125" style="1" hidden="1" customWidth="1"/>
    <col min="164" max="164" width="7.36328125" style="1" hidden="1" customWidth="1"/>
    <col min="165" max="165" width="7.453125" style="1" hidden="1" customWidth="1"/>
    <col min="166" max="166" width="5.6328125" style="1" hidden="1" customWidth="1"/>
    <col min="167" max="167" width="8.08984375" style="1" hidden="1" customWidth="1"/>
    <col min="168" max="168" width="7.453125" style="1" hidden="1" customWidth="1"/>
    <col min="169" max="169" width="5.453125" style="1" hidden="1" customWidth="1"/>
    <col min="170" max="171" width="7.453125" style="1" hidden="1" customWidth="1"/>
    <col min="172" max="172" width="5.453125" style="1" hidden="1" customWidth="1"/>
    <col min="173" max="173" width="7.36328125" style="1" hidden="1" customWidth="1"/>
    <col min="174" max="174" width="7.90625" style="1" hidden="1" customWidth="1"/>
    <col min="175" max="175" width="5.90625" style="1" hidden="1" customWidth="1"/>
    <col min="176" max="177" width="7.453125" style="1" hidden="1" customWidth="1"/>
    <col min="178" max="178" width="5.08984375" style="1" hidden="1" customWidth="1"/>
    <col min="179" max="180" width="7.453125" style="1" hidden="1" customWidth="1"/>
    <col min="181" max="181" width="5.36328125" style="1" hidden="1" customWidth="1"/>
    <col min="182" max="183" width="7.90625" style="1" hidden="1" customWidth="1"/>
    <col min="184" max="184" width="6" style="1" hidden="1" customWidth="1"/>
    <col min="185" max="185" width="7.6328125" style="1" hidden="1" customWidth="1"/>
    <col min="186" max="186" width="7.453125" style="1" hidden="1" customWidth="1"/>
    <col min="187" max="187" width="5.6328125" style="1" hidden="1" customWidth="1"/>
    <col min="188" max="188" width="7.90625" style="1" hidden="1" customWidth="1"/>
    <col min="189" max="189" width="8" style="1" hidden="1" customWidth="1"/>
    <col min="190" max="190" width="5.453125" style="1" hidden="1" customWidth="1"/>
    <col min="191" max="191" width="8" style="1" hidden="1" customWidth="1"/>
    <col min="192" max="192" width="8.08984375" style="1" hidden="1" customWidth="1"/>
    <col min="193" max="193" width="6.36328125" style="1" hidden="1" customWidth="1"/>
    <col min="194" max="194" width="8.08984375" style="1" hidden="1" customWidth="1"/>
    <col min="195" max="195" width="8.453125" style="1" hidden="1" customWidth="1"/>
    <col min="196" max="196" width="6.36328125" style="1" hidden="1" customWidth="1"/>
    <col min="197" max="197" width="8.453125" style="1" hidden="1" customWidth="1"/>
    <col min="198" max="198" width="8.08984375" style="1" hidden="1" customWidth="1"/>
    <col min="199" max="199" width="7" style="1" hidden="1" customWidth="1"/>
    <col min="200" max="200" width="8.453125" style="1" hidden="1" customWidth="1"/>
    <col min="201" max="201" width="8.08984375" style="1" hidden="1" customWidth="1"/>
    <col min="202" max="202" width="7" style="1" hidden="1" customWidth="1"/>
    <col min="203" max="203" width="8.453125" style="1" hidden="1" customWidth="1"/>
    <col min="204" max="204" width="8.08984375" style="1" hidden="1" customWidth="1"/>
    <col min="205" max="205" width="7" style="1" hidden="1" customWidth="1"/>
    <col min="206" max="206" width="8.453125" style="1" customWidth="1"/>
    <col min="207" max="207" width="8.08984375" style="1" customWidth="1"/>
    <col min="208" max="208" width="7" style="1" customWidth="1"/>
    <col min="209" max="209" width="8.453125" style="1" customWidth="1"/>
    <col min="210" max="210" width="8.08984375" style="1" customWidth="1"/>
    <col min="211" max="211" width="7" style="1" customWidth="1"/>
    <col min="212" max="212" width="8.453125" style="1" customWidth="1"/>
    <col min="213" max="213" width="8.08984375" style="1" customWidth="1"/>
    <col min="214" max="214" width="7" style="1" customWidth="1"/>
    <col min="215" max="16384" width="9.08984375" style="1"/>
  </cols>
  <sheetData>
    <row r="1" spans="1:214" ht="15.75" customHeight="1" x14ac:dyDescent="0.3">
      <c r="A1" s="1311" t="s">
        <v>526</v>
      </c>
      <c r="B1" s="1311"/>
      <c r="C1" s="1311"/>
      <c r="D1" s="1311"/>
      <c r="E1" s="1311"/>
      <c r="F1" s="1311"/>
      <c r="G1" s="1311"/>
      <c r="H1" s="1311"/>
      <c r="I1" s="1311"/>
      <c r="J1" s="1311"/>
      <c r="K1" s="1311"/>
      <c r="L1" s="1311"/>
      <c r="M1" s="1311"/>
      <c r="N1" s="1311"/>
      <c r="O1" s="1311"/>
      <c r="P1" s="1311"/>
      <c r="Q1" s="1311"/>
      <c r="R1" s="1311"/>
      <c r="S1" s="1311"/>
      <c r="T1" s="1311"/>
      <c r="U1" s="1311"/>
      <c r="V1" s="1311"/>
      <c r="W1" s="1311"/>
      <c r="X1" s="1311"/>
      <c r="Y1" s="1311"/>
      <c r="Z1" s="1311"/>
      <c r="AA1" s="1311"/>
      <c r="AB1" s="1311"/>
      <c r="AC1" s="1311"/>
      <c r="AD1" s="1311"/>
      <c r="AE1" s="1311"/>
      <c r="AF1" s="1311"/>
      <c r="AG1" s="1311"/>
      <c r="AH1" s="1311"/>
      <c r="AI1" s="1311"/>
      <c r="AJ1" s="1311"/>
      <c r="AK1" s="1311"/>
      <c r="AL1" s="1311"/>
      <c r="AM1" s="1311"/>
      <c r="AN1" s="1311"/>
      <c r="AO1" s="1311"/>
      <c r="AP1" s="1311"/>
      <c r="AQ1" s="1311"/>
      <c r="AR1" s="1311"/>
      <c r="AS1" s="1311"/>
      <c r="AT1" s="1311"/>
      <c r="AU1" s="1311"/>
      <c r="AV1" s="1311"/>
      <c r="AW1" s="1311"/>
      <c r="AX1" s="1311"/>
      <c r="AY1" s="1311"/>
      <c r="AZ1" s="1311"/>
      <c r="BA1" s="1311"/>
      <c r="BB1" s="1311"/>
      <c r="BC1" s="1311"/>
      <c r="BD1" s="1311"/>
      <c r="BE1" s="1311"/>
      <c r="BF1" s="1311"/>
      <c r="BG1" s="1311"/>
      <c r="BH1" s="1311"/>
      <c r="BI1" s="1311"/>
      <c r="BJ1" s="1311"/>
      <c r="BK1" s="1311"/>
      <c r="BL1" s="1311"/>
      <c r="BM1" s="1311"/>
      <c r="BN1" s="1311"/>
      <c r="BO1" s="1311"/>
      <c r="BP1" s="1311"/>
      <c r="BQ1" s="1311"/>
      <c r="BR1" s="1311"/>
      <c r="BS1" s="1311"/>
      <c r="BT1" s="1311"/>
      <c r="BU1" s="1311"/>
      <c r="BV1" s="1311"/>
      <c r="BW1" s="1311"/>
      <c r="BX1" s="1311"/>
      <c r="BY1" s="1311"/>
      <c r="BZ1" s="1311"/>
      <c r="CA1" s="1311"/>
      <c r="CB1" s="1311"/>
      <c r="CC1" s="1311"/>
      <c r="CD1" s="1311"/>
      <c r="CE1" s="1311"/>
      <c r="CF1" s="1311"/>
      <c r="CG1" s="1311"/>
      <c r="CH1" s="1311"/>
      <c r="CI1" s="1311"/>
      <c r="CJ1" s="1311"/>
      <c r="CK1" s="1311"/>
      <c r="CL1" s="1311"/>
      <c r="CM1" s="1311"/>
      <c r="CN1" s="1311"/>
      <c r="CO1" s="1311"/>
      <c r="CP1" s="1311"/>
      <c r="CQ1" s="1311"/>
      <c r="CR1" s="1311"/>
      <c r="CS1" s="1311"/>
      <c r="CT1" s="1311"/>
      <c r="CU1" s="1311"/>
      <c r="CV1" s="1311"/>
      <c r="CW1" s="1311"/>
      <c r="CX1" s="1311"/>
      <c r="CY1" s="1311"/>
      <c r="CZ1" s="1311"/>
      <c r="DA1" s="1311"/>
      <c r="DB1" s="1311"/>
      <c r="DC1" s="1311"/>
      <c r="DD1" s="1311"/>
      <c r="DE1" s="1311"/>
      <c r="DF1" s="1311"/>
      <c r="DG1" s="1311"/>
      <c r="DH1" s="1311"/>
      <c r="DI1" s="1311"/>
      <c r="DJ1" s="1311"/>
      <c r="DK1" s="1311"/>
      <c r="DL1" s="1311"/>
      <c r="DM1" s="1311"/>
      <c r="DN1" s="1311"/>
      <c r="DO1" s="1311"/>
      <c r="DP1" s="1311"/>
      <c r="DQ1" s="1311"/>
      <c r="DR1" s="1311"/>
      <c r="DS1" s="1311"/>
      <c r="DT1" s="1311"/>
      <c r="DU1" s="1311"/>
      <c r="DV1" s="1311"/>
      <c r="DW1" s="1311"/>
      <c r="DX1" s="1311"/>
      <c r="DY1" s="1311"/>
      <c r="DZ1" s="1311"/>
      <c r="EA1" s="1311"/>
      <c r="EB1" s="1311"/>
      <c r="EC1" s="1311"/>
      <c r="ED1" s="1311"/>
      <c r="EE1" s="1311"/>
      <c r="EF1" s="1311"/>
      <c r="EG1" s="1311"/>
      <c r="EH1" s="1311"/>
      <c r="EI1" s="1311"/>
      <c r="EJ1" s="1311"/>
      <c r="EK1" s="1311"/>
      <c r="EL1" s="1311"/>
      <c r="EM1" s="1311"/>
      <c r="EN1" s="1311"/>
      <c r="EO1" s="1311"/>
      <c r="EP1" s="1311"/>
      <c r="EQ1" s="1311"/>
      <c r="ER1" s="1311"/>
      <c r="ES1" s="1311"/>
      <c r="ET1" s="1311"/>
      <c r="EU1" s="1311"/>
      <c r="EV1" s="1311"/>
      <c r="EW1" s="1311"/>
      <c r="EX1" s="1311"/>
      <c r="EY1" s="1311"/>
      <c r="EZ1" s="1311"/>
      <c r="FA1" s="1311"/>
      <c r="FB1" s="1311"/>
      <c r="FC1" s="1311"/>
      <c r="FD1" s="1311"/>
      <c r="FE1" s="1311"/>
      <c r="FF1" s="1311"/>
      <c r="FG1" s="1311"/>
      <c r="FH1" s="1311"/>
      <c r="FI1" s="1311"/>
      <c r="FJ1" s="1311"/>
      <c r="FK1" s="1311"/>
      <c r="FL1" s="1311"/>
      <c r="FM1" s="1311"/>
      <c r="FN1" s="1311"/>
      <c r="FO1" s="1311"/>
      <c r="FP1" s="1311"/>
      <c r="FQ1" s="1311"/>
      <c r="FR1" s="1311"/>
      <c r="FS1" s="1311"/>
      <c r="FT1" s="1311"/>
      <c r="FU1" s="1311"/>
      <c r="FV1" s="1311"/>
      <c r="FW1" s="1311"/>
      <c r="FX1" s="1311"/>
      <c r="FY1" s="1311"/>
      <c r="FZ1" s="1311"/>
      <c r="GA1" s="1311"/>
      <c r="GB1" s="1311"/>
      <c r="GC1" s="1311"/>
      <c r="GD1" s="1311"/>
      <c r="GE1" s="1311"/>
      <c r="GF1" s="1311"/>
      <c r="GG1" s="1311"/>
      <c r="GH1" s="1311"/>
      <c r="GI1" s="1311"/>
      <c r="GJ1" s="1311"/>
      <c r="GK1" s="1311"/>
      <c r="GL1" s="1311"/>
      <c r="GM1" s="1311"/>
      <c r="GN1" s="1311"/>
      <c r="GO1" s="1311"/>
      <c r="GP1" s="1311"/>
      <c r="GQ1" s="1311"/>
      <c r="GR1" s="1311"/>
      <c r="GS1" s="1311"/>
      <c r="GT1" s="1311"/>
      <c r="GU1" s="1311"/>
      <c r="GV1" s="1311"/>
      <c r="GW1" s="1311"/>
      <c r="GX1" s="1311"/>
      <c r="GY1" s="1311"/>
      <c r="GZ1" s="1311"/>
      <c r="HA1" s="1311"/>
      <c r="HB1" s="1311"/>
      <c r="HC1" s="1311"/>
      <c r="HD1" s="1311"/>
      <c r="HE1" s="1311"/>
      <c r="HF1" s="1311"/>
    </row>
    <row r="2" spans="1:214" x14ac:dyDescent="0.3">
      <c r="A2" s="1312" t="s">
        <v>525</v>
      </c>
      <c r="B2" s="1312"/>
      <c r="C2" s="1312"/>
      <c r="D2" s="1312"/>
      <c r="E2" s="1312"/>
      <c r="F2" s="1312"/>
      <c r="G2" s="1312"/>
      <c r="H2" s="1312"/>
      <c r="I2" s="1312"/>
      <c r="J2" s="1312"/>
      <c r="K2" s="1312"/>
      <c r="L2" s="1312"/>
      <c r="M2" s="1312"/>
      <c r="N2" s="1312"/>
      <c r="O2" s="1312"/>
      <c r="P2" s="1312"/>
      <c r="Q2" s="1312"/>
      <c r="R2" s="1312"/>
      <c r="S2" s="1312"/>
      <c r="T2" s="1312"/>
      <c r="U2" s="1312"/>
      <c r="V2" s="1312"/>
      <c r="W2" s="1312"/>
      <c r="X2" s="1312"/>
      <c r="Y2" s="1312"/>
      <c r="Z2" s="1312"/>
      <c r="AA2" s="1312"/>
      <c r="AB2" s="1312"/>
      <c r="AC2" s="1312"/>
      <c r="AD2" s="1312"/>
      <c r="AE2" s="1312"/>
      <c r="AF2" s="1312"/>
      <c r="AG2" s="1312"/>
      <c r="AH2" s="1312"/>
      <c r="AI2" s="1312"/>
      <c r="AJ2" s="1312"/>
      <c r="AK2" s="1312"/>
      <c r="AL2" s="1312"/>
      <c r="AM2" s="1312"/>
      <c r="AN2" s="1312"/>
      <c r="AO2" s="1312"/>
      <c r="AP2" s="1312"/>
      <c r="AQ2" s="1312"/>
      <c r="AR2" s="1312"/>
      <c r="AS2" s="1312"/>
      <c r="AT2" s="1312"/>
      <c r="AU2" s="1312"/>
      <c r="AV2" s="1312"/>
      <c r="AW2" s="1312"/>
      <c r="AX2" s="1312"/>
      <c r="AY2" s="1312"/>
      <c r="AZ2" s="1312"/>
      <c r="BA2" s="1312"/>
      <c r="BB2" s="1312"/>
      <c r="BC2" s="1312"/>
      <c r="BD2" s="1312"/>
      <c r="BE2" s="1312"/>
      <c r="BF2" s="1312"/>
      <c r="BG2" s="1312"/>
      <c r="BH2" s="1312"/>
      <c r="BI2" s="1312"/>
      <c r="BJ2" s="1312"/>
      <c r="BK2" s="1312"/>
      <c r="BL2" s="1312"/>
      <c r="BM2" s="1312"/>
      <c r="BN2" s="1312"/>
      <c r="BO2" s="1312"/>
      <c r="BP2" s="1312"/>
      <c r="BQ2" s="1312"/>
      <c r="BR2" s="1312"/>
      <c r="BS2" s="1312"/>
      <c r="BT2" s="1312"/>
      <c r="BU2" s="1312"/>
      <c r="BV2" s="1312"/>
      <c r="BW2" s="1312"/>
      <c r="BX2" s="1312"/>
      <c r="BY2" s="1312"/>
      <c r="BZ2" s="1312"/>
      <c r="CA2" s="1312"/>
      <c r="CB2" s="1312"/>
      <c r="CC2" s="1312"/>
      <c r="CD2" s="1312"/>
      <c r="CE2" s="1312"/>
      <c r="CF2" s="1312"/>
      <c r="CG2" s="1312"/>
      <c r="CH2" s="1312"/>
      <c r="CI2" s="1312"/>
      <c r="CJ2" s="1312"/>
      <c r="CK2" s="1312"/>
      <c r="CL2" s="1312"/>
      <c r="CM2" s="1312"/>
      <c r="CN2" s="1312"/>
      <c r="CO2" s="1312"/>
      <c r="CP2" s="1312"/>
      <c r="CQ2" s="1312"/>
      <c r="CR2" s="1312"/>
      <c r="CS2" s="1312"/>
      <c r="CT2" s="1312"/>
      <c r="CU2" s="1312"/>
      <c r="CV2" s="1312"/>
      <c r="CW2" s="1312"/>
      <c r="CX2" s="1312"/>
      <c r="CY2" s="1312"/>
      <c r="CZ2" s="1312"/>
      <c r="DA2" s="1312"/>
      <c r="DB2" s="1312"/>
      <c r="DC2" s="1312"/>
      <c r="DD2" s="1312"/>
      <c r="DE2" s="1312"/>
      <c r="DF2" s="1312"/>
      <c r="DG2" s="1312"/>
      <c r="DH2" s="1312"/>
      <c r="DI2" s="1312"/>
      <c r="DJ2" s="1312"/>
      <c r="DK2" s="1312"/>
      <c r="DL2" s="1312"/>
      <c r="DM2" s="1312"/>
      <c r="DN2" s="1312"/>
      <c r="DO2" s="1312"/>
      <c r="DP2" s="1312"/>
      <c r="DQ2" s="1312"/>
      <c r="DR2" s="1312"/>
      <c r="DS2" s="1312"/>
      <c r="DT2" s="1312"/>
      <c r="DU2" s="1312"/>
      <c r="DV2" s="1312"/>
      <c r="DW2" s="1312"/>
      <c r="DX2" s="1312"/>
      <c r="DY2" s="1312"/>
      <c r="DZ2" s="1312"/>
      <c r="EA2" s="1312"/>
      <c r="EB2" s="1312"/>
      <c r="EC2" s="1312"/>
      <c r="ED2" s="1312"/>
      <c r="EE2" s="1312"/>
      <c r="EF2" s="1312"/>
      <c r="EG2" s="1312"/>
      <c r="EH2" s="1312"/>
      <c r="EI2" s="1312"/>
      <c r="EJ2" s="1312"/>
      <c r="EK2" s="1312"/>
      <c r="EL2" s="1312"/>
      <c r="EM2" s="1312"/>
      <c r="EN2" s="1312"/>
      <c r="EO2" s="1312"/>
      <c r="EP2" s="1312"/>
      <c r="EQ2" s="1312"/>
      <c r="ER2" s="1312"/>
      <c r="ES2" s="1312"/>
      <c r="ET2" s="1312"/>
      <c r="EU2" s="1312"/>
      <c r="EV2" s="1312"/>
      <c r="EW2" s="1312"/>
      <c r="EX2" s="1312"/>
      <c r="EY2" s="1312"/>
      <c r="EZ2" s="1312"/>
      <c r="FA2" s="1312"/>
      <c r="FB2" s="1312"/>
      <c r="FC2" s="1312"/>
      <c r="FD2" s="1312"/>
      <c r="FE2" s="1312"/>
      <c r="FF2" s="1312"/>
      <c r="FG2" s="1312"/>
      <c r="FH2" s="1312"/>
      <c r="FI2" s="1312"/>
      <c r="FJ2" s="1312"/>
      <c r="FK2" s="1312"/>
      <c r="FL2" s="1312"/>
      <c r="FM2" s="1312"/>
      <c r="FN2" s="1312"/>
      <c r="FO2" s="1312"/>
      <c r="FP2" s="1312"/>
      <c r="FQ2" s="1312"/>
      <c r="FR2" s="1312"/>
      <c r="FS2" s="1312"/>
      <c r="FT2" s="1312"/>
      <c r="FU2" s="1312"/>
      <c r="FV2" s="1312"/>
      <c r="FW2" s="1312"/>
      <c r="FX2" s="1312"/>
      <c r="FY2" s="1312"/>
      <c r="FZ2" s="1312"/>
      <c r="GA2" s="1312"/>
      <c r="GB2" s="1312"/>
      <c r="GC2" s="1312"/>
      <c r="GD2" s="1312"/>
      <c r="GE2" s="1312"/>
      <c r="GF2" s="1312"/>
      <c r="GG2" s="1312"/>
      <c r="GH2" s="1312"/>
      <c r="GI2" s="1312"/>
      <c r="GJ2" s="1312"/>
      <c r="GK2" s="1312"/>
      <c r="GL2" s="1312"/>
      <c r="GM2" s="1312"/>
      <c r="GN2" s="1312"/>
      <c r="GO2" s="1312"/>
      <c r="GP2" s="1312"/>
      <c r="GQ2" s="1312"/>
      <c r="GR2" s="1312"/>
      <c r="GS2" s="1312"/>
      <c r="GT2" s="1312"/>
      <c r="GU2" s="1312"/>
      <c r="GV2" s="1312"/>
      <c r="GW2" s="1312"/>
      <c r="GX2" s="1312"/>
      <c r="GY2" s="1312"/>
      <c r="GZ2" s="1312"/>
      <c r="HA2" s="1312"/>
      <c r="HB2" s="1312"/>
      <c r="HC2" s="1312"/>
      <c r="HD2" s="1312"/>
      <c r="HE2" s="1312"/>
      <c r="HF2" s="1312"/>
    </row>
    <row r="3" spans="1:214" ht="13.5" thickBot="1" x14ac:dyDescent="0.35">
      <c r="GU3" s="990"/>
      <c r="GV3" s="990"/>
      <c r="GW3" s="990"/>
      <c r="GX3" s="990"/>
      <c r="GY3" s="990"/>
      <c r="GZ3" s="990"/>
      <c r="HA3" s="990"/>
      <c r="HB3" s="990"/>
      <c r="HC3" s="990"/>
      <c r="HD3" s="990"/>
      <c r="HE3" s="990"/>
      <c r="HF3" s="990"/>
    </row>
    <row r="4" spans="1:214" ht="15.75" customHeight="1" thickTop="1" thickBot="1" x14ac:dyDescent="0.35">
      <c r="A4" s="1321" t="s">
        <v>511</v>
      </c>
      <c r="B4" s="1323">
        <v>2008</v>
      </c>
      <c r="C4" s="1324"/>
      <c r="D4" s="1324"/>
      <c r="E4" s="1324"/>
      <c r="F4" s="1324"/>
      <c r="G4" s="1325"/>
      <c r="H4" s="1323">
        <v>2009</v>
      </c>
      <c r="I4" s="1324"/>
      <c r="J4" s="1324"/>
      <c r="K4" s="1324"/>
      <c r="L4" s="1324"/>
      <c r="M4" s="1324"/>
      <c r="N4" s="1324"/>
      <c r="O4" s="1324"/>
      <c r="P4" s="1324"/>
      <c r="Q4" s="1324"/>
      <c r="R4" s="1324"/>
      <c r="S4" s="1325"/>
      <c r="T4" s="1323">
        <v>2010</v>
      </c>
      <c r="U4" s="1324"/>
      <c r="V4" s="1324"/>
      <c r="W4" s="1324"/>
      <c r="X4" s="1324"/>
      <c r="Y4" s="1324"/>
      <c r="Z4" s="1324"/>
      <c r="AA4" s="1324"/>
      <c r="AB4" s="1324"/>
      <c r="AC4" s="1324"/>
      <c r="AD4" s="1324"/>
      <c r="AE4" s="1325"/>
      <c r="AF4" s="1323">
        <v>2011</v>
      </c>
      <c r="AG4" s="1324"/>
      <c r="AH4" s="1324"/>
      <c r="AI4" s="1324"/>
      <c r="AJ4" s="1324"/>
      <c r="AK4" s="1324"/>
      <c r="AL4" s="1324"/>
      <c r="AM4" s="1324"/>
      <c r="AN4" s="1324"/>
      <c r="AO4" s="1324"/>
      <c r="AP4" s="1324"/>
      <c r="AQ4" s="1325"/>
      <c r="AR4" s="1323">
        <v>2012</v>
      </c>
      <c r="AS4" s="1324"/>
      <c r="AT4" s="1324"/>
      <c r="AU4" s="1324"/>
      <c r="AV4" s="1324"/>
      <c r="AW4" s="1324"/>
      <c r="AX4" s="1324"/>
      <c r="AY4" s="1324"/>
      <c r="AZ4" s="1324"/>
      <c r="BA4" s="1324"/>
      <c r="BB4" s="1324"/>
      <c r="BC4" s="1325"/>
      <c r="BD4" s="1323">
        <v>2013</v>
      </c>
      <c r="BE4" s="1324"/>
      <c r="BF4" s="1324"/>
      <c r="BG4" s="1324"/>
      <c r="BH4" s="1324"/>
      <c r="BI4" s="1324"/>
      <c r="BJ4" s="1324"/>
      <c r="BK4" s="1324"/>
      <c r="BL4" s="1324"/>
      <c r="BM4" s="1324"/>
      <c r="BN4" s="1324"/>
      <c r="BO4" s="1325"/>
      <c r="BP4" s="1318">
        <v>2014</v>
      </c>
      <c r="BQ4" s="1319"/>
      <c r="BR4" s="1319"/>
      <c r="BS4" s="1319"/>
      <c r="BT4" s="1319"/>
      <c r="BU4" s="1319"/>
      <c r="BV4" s="1319"/>
      <c r="BW4" s="1319"/>
      <c r="BX4" s="1319"/>
      <c r="BY4" s="1319"/>
      <c r="BZ4" s="1319"/>
      <c r="CA4" s="1320"/>
      <c r="CB4" s="1318">
        <v>2015</v>
      </c>
      <c r="CC4" s="1319"/>
      <c r="CD4" s="1319"/>
      <c r="CE4" s="1319"/>
      <c r="CF4" s="1319"/>
      <c r="CG4" s="1319"/>
      <c r="CH4" s="1319"/>
      <c r="CI4" s="1319"/>
      <c r="CJ4" s="1319"/>
      <c r="CK4" s="1319"/>
      <c r="CL4" s="1319"/>
      <c r="CM4" s="1320"/>
      <c r="CN4" s="1318">
        <v>2016</v>
      </c>
      <c r="CO4" s="1319"/>
      <c r="CP4" s="1319"/>
      <c r="CQ4" s="1319"/>
      <c r="CR4" s="1319"/>
      <c r="CS4" s="1319"/>
      <c r="CT4" s="1319"/>
      <c r="CU4" s="1319"/>
      <c r="CV4" s="1319"/>
      <c r="CW4" s="1319"/>
      <c r="CX4" s="1319"/>
      <c r="CY4" s="1320"/>
      <c r="CZ4" s="1318">
        <v>2017</v>
      </c>
      <c r="DA4" s="1319"/>
      <c r="DB4" s="1319"/>
      <c r="DC4" s="1319"/>
      <c r="DD4" s="1319"/>
      <c r="DE4" s="1319"/>
      <c r="DF4" s="1319"/>
      <c r="DG4" s="1319"/>
      <c r="DH4" s="1319"/>
      <c r="DI4" s="1319"/>
      <c r="DJ4" s="1319"/>
      <c r="DK4" s="1320"/>
      <c r="DL4" s="1318">
        <v>2018</v>
      </c>
      <c r="DM4" s="1319"/>
      <c r="DN4" s="1319"/>
      <c r="DO4" s="1319"/>
      <c r="DP4" s="1319"/>
      <c r="DQ4" s="1319"/>
      <c r="DR4" s="1319"/>
      <c r="DS4" s="1319"/>
      <c r="DT4" s="1319"/>
      <c r="DU4" s="1319"/>
      <c r="DV4" s="1319"/>
      <c r="DW4" s="1320"/>
      <c r="DX4" s="1318">
        <v>2019</v>
      </c>
      <c r="DY4" s="1319"/>
      <c r="DZ4" s="1319"/>
      <c r="EA4" s="1319"/>
      <c r="EB4" s="1319"/>
      <c r="EC4" s="1319"/>
      <c r="ED4" s="1319"/>
      <c r="EE4" s="1319"/>
      <c r="EF4" s="1319"/>
      <c r="EG4" s="1319"/>
      <c r="EH4" s="1319"/>
      <c r="EI4" s="1320"/>
      <c r="EJ4" s="1317">
        <v>2020</v>
      </c>
      <c r="EK4" s="1317"/>
      <c r="EL4" s="1317"/>
      <c r="EM4" s="1317"/>
      <c r="EN4" s="1317"/>
      <c r="EO4" s="1317"/>
      <c r="EP4" s="1317"/>
      <c r="EQ4" s="1317"/>
      <c r="ER4" s="1317"/>
      <c r="ES4" s="1317"/>
      <c r="ET4" s="1317"/>
      <c r="EU4" s="1317"/>
      <c r="EV4" s="1317">
        <v>2021</v>
      </c>
      <c r="EW4" s="1317"/>
      <c r="EX4" s="1317"/>
      <c r="EY4" s="1317"/>
      <c r="EZ4" s="1317"/>
      <c r="FA4" s="1317"/>
      <c r="FB4" s="1317"/>
      <c r="FC4" s="1317"/>
      <c r="FD4" s="1317"/>
      <c r="FE4" s="1317"/>
      <c r="FF4" s="1317"/>
      <c r="FG4" s="1317"/>
      <c r="FH4" s="1317">
        <v>2022</v>
      </c>
      <c r="FI4" s="1317"/>
      <c r="FJ4" s="1317"/>
      <c r="FK4" s="1317"/>
      <c r="FL4" s="1317"/>
      <c r="FM4" s="1317"/>
      <c r="FN4" s="1317"/>
      <c r="FO4" s="1317"/>
      <c r="FP4" s="1317"/>
      <c r="FQ4" s="1317"/>
      <c r="FR4" s="1317"/>
      <c r="FS4" s="1317"/>
      <c r="FT4" s="1317">
        <v>2023</v>
      </c>
      <c r="FU4" s="1317"/>
      <c r="FV4" s="1317"/>
      <c r="FW4" s="1317"/>
      <c r="FX4" s="1317"/>
      <c r="FY4" s="1317"/>
      <c r="FZ4" s="1317"/>
      <c r="GA4" s="1317"/>
      <c r="GB4" s="1317"/>
      <c r="GC4" s="1317"/>
      <c r="GD4" s="1317"/>
      <c r="GE4" s="1317"/>
      <c r="GF4" s="1318">
        <v>2024</v>
      </c>
      <c r="GG4" s="1319"/>
      <c r="GH4" s="1319"/>
      <c r="GI4" s="1319"/>
      <c r="GJ4" s="1319"/>
      <c r="GK4" s="1319"/>
      <c r="GL4" s="1319"/>
      <c r="GM4" s="1319"/>
      <c r="GN4" s="1319"/>
      <c r="GO4" s="1319"/>
      <c r="GP4" s="1319"/>
      <c r="GQ4" s="1320"/>
      <c r="GR4" s="1318">
        <v>2025</v>
      </c>
      <c r="GS4" s="1319"/>
      <c r="GT4" s="1319"/>
      <c r="GU4" s="1319"/>
      <c r="GV4" s="1319"/>
      <c r="GW4" s="1319"/>
      <c r="GX4" s="1319"/>
      <c r="GY4" s="1319"/>
      <c r="GZ4" s="1319"/>
      <c r="HA4" s="1319"/>
      <c r="HB4" s="1319"/>
      <c r="HC4" s="1320"/>
      <c r="HD4" s="1314">
        <v>2026</v>
      </c>
      <c r="HE4" s="1315"/>
      <c r="HF4" s="1316"/>
    </row>
    <row r="5" spans="1:214" ht="17.399999999999999" customHeight="1" thickTop="1" thickBot="1" x14ac:dyDescent="0.35">
      <c r="A5" s="1322"/>
      <c r="B5" s="538" t="s">
        <v>501</v>
      </c>
      <c r="C5" s="537"/>
      <c r="D5" s="536"/>
      <c r="E5" s="538" t="s">
        <v>500</v>
      </c>
      <c r="F5" s="537"/>
      <c r="G5" s="536"/>
      <c r="H5" s="538" t="s">
        <v>499</v>
      </c>
      <c r="I5" s="537"/>
      <c r="J5" s="536"/>
      <c r="K5" s="538" t="s">
        <v>498</v>
      </c>
      <c r="L5" s="537"/>
      <c r="M5" s="536"/>
      <c r="N5" s="538" t="s">
        <v>501</v>
      </c>
      <c r="O5" s="537"/>
      <c r="P5" s="536"/>
      <c r="Q5" s="538" t="s">
        <v>502</v>
      </c>
      <c r="R5" s="537"/>
      <c r="S5" s="536"/>
      <c r="T5" s="538" t="s">
        <v>524</v>
      </c>
      <c r="U5" s="537"/>
      <c r="V5" s="536"/>
      <c r="W5" s="538" t="s">
        <v>523</v>
      </c>
      <c r="X5" s="537"/>
      <c r="Y5" s="536"/>
      <c r="Z5" s="538" t="s">
        <v>522</v>
      </c>
      <c r="AA5" s="537"/>
      <c r="AB5" s="536"/>
      <c r="AC5" s="538" t="s">
        <v>521</v>
      </c>
      <c r="AD5" s="537"/>
      <c r="AE5" s="536"/>
      <c r="AF5" s="538" t="s">
        <v>495</v>
      </c>
      <c r="AG5" s="537"/>
      <c r="AH5" s="536"/>
      <c r="AI5" s="538" t="s">
        <v>504</v>
      </c>
      <c r="AJ5" s="537"/>
      <c r="AK5" s="536"/>
      <c r="AL5" s="535" t="s">
        <v>520</v>
      </c>
      <c r="AM5" s="534"/>
      <c r="AN5" s="533"/>
      <c r="AO5" s="535" t="s">
        <v>505</v>
      </c>
      <c r="AP5" s="534"/>
      <c r="AQ5" s="533"/>
      <c r="AR5" s="535" t="s">
        <v>495</v>
      </c>
      <c r="AS5" s="534"/>
      <c r="AT5" s="533"/>
      <c r="AU5" s="535" t="s">
        <v>504</v>
      </c>
      <c r="AV5" s="534"/>
      <c r="AW5" s="533"/>
      <c r="AX5" s="535" t="s">
        <v>501</v>
      </c>
      <c r="AY5" s="534"/>
      <c r="AZ5" s="533"/>
      <c r="BA5" s="535" t="s">
        <v>502</v>
      </c>
      <c r="BB5" s="534"/>
      <c r="BC5" s="533"/>
      <c r="BD5" s="535" t="s">
        <v>499</v>
      </c>
      <c r="BE5" s="534"/>
      <c r="BF5" s="533"/>
      <c r="BG5" s="535" t="s">
        <v>498</v>
      </c>
      <c r="BH5" s="534"/>
      <c r="BI5" s="533"/>
      <c r="BJ5" s="535" t="s">
        <v>520</v>
      </c>
      <c r="BK5" s="534"/>
      <c r="BL5" s="533"/>
      <c r="BM5" s="535" t="s">
        <v>500</v>
      </c>
      <c r="BN5" s="534"/>
      <c r="BO5" s="533"/>
      <c r="BP5" s="535" t="s">
        <v>499</v>
      </c>
      <c r="BQ5" s="534"/>
      <c r="BR5" s="533"/>
      <c r="BS5" s="535" t="s">
        <v>498</v>
      </c>
      <c r="BT5" s="534"/>
      <c r="BU5" s="533"/>
      <c r="BV5" s="535" t="s">
        <v>520</v>
      </c>
      <c r="BW5" s="534"/>
      <c r="BX5" s="533"/>
      <c r="BY5" s="535" t="s">
        <v>500</v>
      </c>
      <c r="BZ5" s="534"/>
      <c r="CA5" s="533"/>
      <c r="CB5" s="535" t="s">
        <v>499</v>
      </c>
      <c r="CC5" s="534"/>
      <c r="CD5" s="533"/>
      <c r="CE5" s="535" t="s">
        <v>504</v>
      </c>
      <c r="CF5" s="534"/>
      <c r="CG5" s="533"/>
      <c r="CH5" s="535" t="s">
        <v>506</v>
      </c>
      <c r="CI5" s="534"/>
      <c r="CJ5" s="533"/>
      <c r="CK5" s="535" t="s">
        <v>502</v>
      </c>
      <c r="CL5" s="534"/>
      <c r="CM5" s="533"/>
      <c r="CN5" s="535" t="s">
        <v>499</v>
      </c>
      <c r="CO5" s="534"/>
      <c r="CP5" s="533"/>
      <c r="CQ5" s="535" t="s">
        <v>498</v>
      </c>
      <c r="CR5" s="534"/>
      <c r="CS5" s="533"/>
      <c r="CT5" s="535" t="s">
        <v>501</v>
      </c>
      <c r="CU5" s="534"/>
      <c r="CV5" s="533"/>
      <c r="CW5" s="535" t="s">
        <v>500</v>
      </c>
      <c r="CX5" s="534"/>
      <c r="CY5" s="533"/>
      <c r="CZ5" s="535" t="s">
        <v>499</v>
      </c>
      <c r="DA5" s="534"/>
      <c r="DB5" s="533"/>
      <c r="DC5" s="535" t="s">
        <v>498</v>
      </c>
      <c r="DD5" s="534"/>
      <c r="DE5" s="533"/>
      <c r="DF5" s="535" t="s">
        <v>501</v>
      </c>
      <c r="DG5" s="534"/>
      <c r="DH5" s="533"/>
      <c r="DI5" s="535" t="s">
        <v>500</v>
      </c>
      <c r="DJ5" s="534"/>
      <c r="DK5" s="533"/>
      <c r="DL5" s="535" t="s">
        <v>499</v>
      </c>
      <c r="DM5" s="534"/>
      <c r="DN5" s="533"/>
      <c r="DO5" s="535" t="s">
        <v>504</v>
      </c>
      <c r="DP5" s="534"/>
      <c r="DQ5" s="533"/>
      <c r="DR5" s="535" t="s">
        <v>501</v>
      </c>
      <c r="DS5" s="534"/>
      <c r="DT5" s="533"/>
      <c r="DU5" s="535" t="s">
        <v>500</v>
      </c>
      <c r="DV5" s="534"/>
      <c r="DW5" s="533"/>
      <c r="DX5" s="1314" t="s">
        <v>499</v>
      </c>
      <c r="DY5" s="1315"/>
      <c r="DZ5" s="1316"/>
      <c r="EA5" s="1314" t="s">
        <v>498</v>
      </c>
      <c r="EB5" s="1315"/>
      <c r="EC5" s="1316"/>
      <c r="ED5" s="1314" t="s">
        <v>501</v>
      </c>
      <c r="EE5" s="1315"/>
      <c r="EF5" s="1316"/>
      <c r="EG5" s="1314" t="s">
        <v>500</v>
      </c>
      <c r="EH5" s="1315"/>
      <c r="EI5" s="1316"/>
      <c r="EJ5" s="1314" t="s">
        <v>495</v>
      </c>
      <c r="EK5" s="1315"/>
      <c r="EL5" s="1316"/>
      <c r="EM5" s="1314" t="s">
        <v>498</v>
      </c>
      <c r="EN5" s="1315"/>
      <c r="EO5" s="1316"/>
      <c r="EP5" s="1314" t="s">
        <v>501</v>
      </c>
      <c r="EQ5" s="1315"/>
      <c r="ER5" s="1316"/>
      <c r="ES5" s="1314" t="s">
        <v>500</v>
      </c>
      <c r="ET5" s="1315"/>
      <c r="EU5" s="1316"/>
      <c r="EV5" s="1314" t="s">
        <v>499</v>
      </c>
      <c r="EW5" s="1315"/>
      <c r="EX5" s="1316"/>
      <c r="EY5" s="1314" t="s">
        <v>498</v>
      </c>
      <c r="EZ5" s="1315"/>
      <c r="FA5" s="1316"/>
      <c r="FB5" s="1314" t="s">
        <v>501</v>
      </c>
      <c r="FC5" s="1315"/>
      <c r="FD5" s="1316"/>
      <c r="FE5" s="1314" t="s">
        <v>500</v>
      </c>
      <c r="FF5" s="1315"/>
      <c r="FG5" s="1316"/>
      <c r="FH5" s="1314" t="s">
        <v>499</v>
      </c>
      <c r="FI5" s="1315"/>
      <c r="FJ5" s="1316"/>
      <c r="FK5" s="1314" t="s">
        <v>498</v>
      </c>
      <c r="FL5" s="1315"/>
      <c r="FM5" s="1316"/>
      <c r="FN5" s="1314" t="s">
        <v>501</v>
      </c>
      <c r="FO5" s="1315"/>
      <c r="FP5" s="1316"/>
      <c r="FQ5" s="1314" t="s">
        <v>500</v>
      </c>
      <c r="FR5" s="1315"/>
      <c r="FS5" s="1316"/>
      <c r="FT5" s="1314" t="s">
        <v>499</v>
      </c>
      <c r="FU5" s="1315"/>
      <c r="FV5" s="1316"/>
      <c r="FW5" s="1314" t="s">
        <v>498</v>
      </c>
      <c r="FX5" s="1315"/>
      <c r="FY5" s="1316"/>
      <c r="FZ5" s="1314" t="s">
        <v>501</v>
      </c>
      <c r="GA5" s="1315"/>
      <c r="GB5" s="1316"/>
      <c r="GC5" s="1314" t="s">
        <v>500</v>
      </c>
      <c r="GD5" s="1315"/>
      <c r="GE5" s="1316"/>
      <c r="GF5" s="1314" t="s">
        <v>499</v>
      </c>
      <c r="GG5" s="1315"/>
      <c r="GH5" s="1316"/>
      <c r="GI5" s="1314" t="s">
        <v>498</v>
      </c>
      <c r="GJ5" s="1315"/>
      <c r="GK5" s="1316"/>
      <c r="GL5" s="1314" t="s">
        <v>497</v>
      </c>
      <c r="GM5" s="1315"/>
      <c r="GN5" s="1316"/>
      <c r="GO5" s="1314" t="s">
        <v>496</v>
      </c>
      <c r="GP5" s="1315"/>
      <c r="GQ5" s="1316"/>
      <c r="GR5" s="1314" t="s">
        <v>495</v>
      </c>
      <c r="GS5" s="1315"/>
      <c r="GT5" s="1316"/>
      <c r="GU5" s="1314" t="s">
        <v>494</v>
      </c>
      <c r="GV5" s="1315"/>
      <c r="GW5" s="1316"/>
      <c r="GX5" s="1314" t="s">
        <v>506</v>
      </c>
      <c r="GY5" s="1315"/>
      <c r="GZ5" s="1316"/>
      <c r="HA5" s="1314" t="s">
        <v>496</v>
      </c>
      <c r="HB5" s="1315"/>
      <c r="HC5" s="1316"/>
      <c r="HD5" s="1314" t="s">
        <v>900</v>
      </c>
      <c r="HE5" s="1315"/>
      <c r="HF5" s="1316"/>
    </row>
    <row r="6" spans="1:214" ht="17.399999999999999" customHeight="1" x14ac:dyDescent="0.3">
      <c r="A6" s="532"/>
      <c r="B6" s="529" t="s">
        <v>493</v>
      </c>
      <c r="C6" s="529" t="s">
        <v>492</v>
      </c>
      <c r="D6" s="531" t="s">
        <v>491</v>
      </c>
      <c r="E6" s="530" t="s">
        <v>493</v>
      </c>
      <c r="F6" s="529" t="s">
        <v>492</v>
      </c>
      <c r="G6" s="531" t="s">
        <v>491</v>
      </c>
      <c r="H6" s="530" t="s">
        <v>493</v>
      </c>
      <c r="I6" s="529" t="s">
        <v>492</v>
      </c>
      <c r="J6" s="531" t="s">
        <v>491</v>
      </c>
      <c r="K6" s="530" t="s">
        <v>493</v>
      </c>
      <c r="L6" s="529" t="s">
        <v>492</v>
      </c>
      <c r="M6" s="531" t="s">
        <v>491</v>
      </c>
      <c r="N6" s="530" t="s">
        <v>493</v>
      </c>
      <c r="O6" s="529" t="s">
        <v>492</v>
      </c>
      <c r="P6" s="531" t="s">
        <v>491</v>
      </c>
      <c r="Q6" s="530" t="s">
        <v>493</v>
      </c>
      <c r="R6" s="529" t="s">
        <v>492</v>
      </c>
      <c r="S6" s="531" t="s">
        <v>491</v>
      </c>
      <c r="T6" s="530" t="s">
        <v>493</v>
      </c>
      <c r="U6" s="529" t="s">
        <v>492</v>
      </c>
      <c r="V6" s="531" t="s">
        <v>491</v>
      </c>
      <c r="W6" s="530" t="s">
        <v>493</v>
      </c>
      <c r="X6" s="529" t="s">
        <v>492</v>
      </c>
      <c r="Y6" s="531" t="s">
        <v>491</v>
      </c>
      <c r="Z6" s="530" t="s">
        <v>493</v>
      </c>
      <c r="AA6" s="529" t="s">
        <v>492</v>
      </c>
      <c r="AB6" s="531" t="s">
        <v>491</v>
      </c>
      <c r="AC6" s="530" t="s">
        <v>493</v>
      </c>
      <c r="AD6" s="529" t="s">
        <v>492</v>
      </c>
      <c r="AE6" s="531" t="s">
        <v>491</v>
      </c>
      <c r="AF6" s="530" t="s">
        <v>493</v>
      </c>
      <c r="AG6" s="529" t="s">
        <v>492</v>
      </c>
      <c r="AH6" s="531" t="s">
        <v>491</v>
      </c>
      <c r="AI6" s="530" t="s">
        <v>493</v>
      </c>
      <c r="AJ6" s="529" t="s">
        <v>492</v>
      </c>
      <c r="AK6" s="528" t="s">
        <v>491</v>
      </c>
      <c r="AL6" s="527" t="s">
        <v>493</v>
      </c>
      <c r="AM6" s="525" t="s">
        <v>492</v>
      </c>
      <c r="AN6" s="524" t="s">
        <v>491</v>
      </c>
      <c r="AO6" s="526" t="s">
        <v>493</v>
      </c>
      <c r="AP6" s="525" t="s">
        <v>492</v>
      </c>
      <c r="AQ6" s="524" t="s">
        <v>491</v>
      </c>
      <c r="AR6" s="526" t="s">
        <v>493</v>
      </c>
      <c r="AS6" s="525" t="s">
        <v>492</v>
      </c>
      <c r="AT6" s="524" t="s">
        <v>491</v>
      </c>
      <c r="AU6" s="526" t="s">
        <v>493</v>
      </c>
      <c r="AV6" s="525" t="s">
        <v>492</v>
      </c>
      <c r="AW6" s="524" t="s">
        <v>491</v>
      </c>
      <c r="AX6" s="526" t="s">
        <v>493</v>
      </c>
      <c r="AY6" s="525" t="s">
        <v>492</v>
      </c>
      <c r="AZ6" s="524" t="s">
        <v>491</v>
      </c>
      <c r="BA6" s="526" t="s">
        <v>493</v>
      </c>
      <c r="BB6" s="525" t="s">
        <v>492</v>
      </c>
      <c r="BC6" s="524" t="s">
        <v>491</v>
      </c>
      <c r="BD6" s="526" t="s">
        <v>493</v>
      </c>
      <c r="BE6" s="525" t="s">
        <v>492</v>
      </c>
      <c r="BF6" s="524" t="s">
        <v>491</v>
      </c>
      <c r="BG6" s="526" t="s">
        <v>493</v>
      </c>
      <c r="BH6" s="525" t="s">
        <v>492</v>
      </c>
      <c r="BI6" s="524" t="s">
        <v>491</v>
      </c>
      <c r="BJ6" s="526" t="s">
        <v>493</v>
      </c>
      <c r="BK6" s="525" t="s">
        <v>492</v>
      </c>
      <c r="BL6" s="524" t="s">
        <v>491</v>
      </c>
      <c r="BM6" s="526" t="s">
        <v>493</v>
      </c>
      <c r="BN6" s="525" t="s">
        <v>492</v>
      </c>
      <c r="BO6" s="524" t="s">
        <v>491</v>
      </c>
      <c r="BP6" s="526" t="s">
        <v>493</v>
      </c>
      <c r="BQ6" s="525" t="s">
        <v>492</v>
      </c>
      <c r="BR6" s="524" t="s">
        <v>491</v>
      </c>
      <c r="BS6" s="526" t="s">
        <v>493</v>
      </c>
      <c r="BT6" s="525" t="s">
        <v>492</v>
      </c>
      <c r="BU6" s="524" t="s">
        <v>491</v>
      </c>
      <c r="BV6" s="526" t="s">
        <v>493</v>
      </c>
      <c r="BW6" s="525" t="s">
        <v>492</v>
      </c>
      <c r="BX6" s="524" t="s">
        <v>491</v>
      </c>
      <c r="BY6" s="526" t="s">
        <v>493</v>
      </c>
      <c r="BZ6" s="525" t="s">
        <v>492</v>
      </c>
      <c r="CA6" s="524" t="s">
        <v>491</v>
      </c>
      <c r="CB6" s="526" t="s">
        <v>493</v>
      </c>
      <c r="CC6" s="525" t="s">
        <v>492</v>
      </c>
      <c r="CD6" s="524" t="s">
        <v>491</v>
      </c>
      <c r="CE6" s="526" t="s">
        <v>493</v>
      </c>
      <c r="CF6" s="525" t="s">
        <v>492</v>
      </c>
      <c r="CG6" s="524" t="s">
        <v>491</v>
      </c>
      <c r="CH6" s="526" t="s">
        <v>493</v>
      </c>
      <c r="CI6" s="525" t="s">
        <v>492</v>
      </c>
      <c r="CJ6" s="524" t="s">
        <v>491</v>
      </c>
      <c r="CK6" s="526" t="s">
        <v>493</v>
      </c>
      <c r="CL6" s="525" t="s">
        <v>492</v>
      </c>
      <c r="CM6" s="524" t="s">
        <v>491</v>
      </c>
      <c r="CN6" s="526" t="s">
        <v>493</v>
      </c>
      <c r="CO6" s="525" t="s">
        <v>492</v>
      </c>
      <c r="CP6" s="524" t="s">
        <v>491</v>
      </c>
      <c r="CQ6" s="526" t="s">
        <v>493</v>
      </c>
      <c r="CR6" s="525" t="s">
        <v>492</v>
      </c>
      <c r="CS6" s="524" t="s">
        <v>491</v>
      </c>
      <c r="CT6" s="526" t="s">
        <v>493</v>
      </c>
      <c r="CU6" s="525" t="s">
        <v>492</v>
      </c>
      <c r="CV6" s="524" t="s">
        <v>491</v>
      </c>
      <c r="CW6" s="526" t="s">
        <v>493</v>
      </c>
      <c r="CX6" s="525" t="s">
        <v>492</v>
      </c>
      <c r="CY6" s="524" t="s">
        <v>491</v>
      </c>
      <c r="CZ6" s="526" t="s">
        <v>493</v>
      </c>
      <c r="DA6" s="525" t="s">
        <v>492</v>
      </c>
      <c r="DB6" s="524" t="s">
        <v>491</v>
      </c>
      <c r="DC6" s="526" t="s">
        <v>493</v>
      </c>
      <c r="DD6" s="525" t="s">
        <v>492</v>
      </c>
      <c r="DE6" s="524" t="s">
        <v>491</v>
      </c>
      <c r="DF6" s="526" t="s">
        <v>493</v>
      </c>
      <c r="DG6" s="525" t="s">
        <v>492</v>
      </c>
      <c r="DH6" s="524" t="s">
        <v>491</v>
      </c>
      <c r="DI6" s="526" t="s">
        <v>493</v>
      </c>
      <c r="DJ6" s="525" t="s">
        <v>492</v>
      </c>
      <c r="DK6" s="524" t="s">
        <v>491</v>
      </c>
      <c r="DL6" s="526" t="s">
        <v>493</v>
      </c>
      <c r="DM6" s="525" t="s">
        <v>492</v>
      </c>
      <c r="DN6" s="524" t="s">
        <v>491</v>
      </c>
      <c r="DO6" s="526" t="s">
        <v>493</v>
      </c>
      <c r="DP6" s="525" t="s">
        <v>492</v>
      </c>
      <c r="DQ6" s="524" t="s">
        <v>491</v>
      </c>
      <c r="DR6" s="526" t="s">
        <v>493</v>
      </c>
      <c r="DS6" s="525" t="s">
        <v>492</v>
      </c>
      <c r="DT6" s="524" t="s">
        <v>491</v>
      </c>
      <c r="DU6" s="526" t="s">
        <v>493</v>
      </c>
      <c r="DV6" s="525" t="s">
        <v>492</v>
      </c>
      <c r="DW6" s="524" t="s">
        <v>491</v>
      </c>
      <c r="DX6" s="526" t="s">
        <v>493</v>
      </c>
      <c r="DY6" s="525" t="s">
        <v>492</v>
      </c>
      <c r="DZ6" s="524" t="s">
        <v>491</v>
      </c>
      <c r="EA6" s="526" t="s">
        <v>493</v>
      </c>
      <c r="EB6" s="525" t="s">
        <v>492</v>
      </c>
      <c r="EC6" s="524" t="s">
        <v>491</v>
      </c>
      <c r="ED6" s="526" t="s">
        <v>493</v>
      </c>
      <c r="EE6" s="525" t="s">
        <v>492</v>
      </c>
      <c r="EF6" s="524" t="s">
        <v>491</v>
      </c>
      <c r="EG6" s="526" t="s">
        <v>493</v>
      </c>
      <c r="EH6" s="525" t="s">
        <v>492</v>
      </c>
      <c r="EI6" s="524" t="s">
        <v>491</v>
      </c>
      <c r="EJ6" s="526" t="s">
        <v>493</v>
      </c>
      <c r="EK6" s="525" t="s">
        <v>492</v>
      </c>
      <c r="EL6" s="524" t="s">
        <v>491</v>
      </c>
      <c r="EM6" s="526" t="s">
        <v>493</v>
      </c>
      <c r="EN6" s="525" t="s">
        <v>492</v>
      </c>
      <c r="EO6" s="524" t="s">
        <v>491</v>
      </c>
      <c r="EP6" s="526" t="s">
        <v>493</v>
      </c>
      <c r="EQ6" s="525" t="s">
        <v>492</v>
      </c>
      <c r="ER6" s="524" t="s">
        <v>491</v>
      </c>
      <c r="ES6" s="526" t="s">
        <v>493</v>
      </c>
      <c r="ET6" s="525" t="s">
        <v>492</v>
      </c>
      <c r="EU6" s="524" t="s">
        <v>491</v>
      </c>
      <c r="EV6" s="526" t="s">
        <v>493</v>
      </c>
      <c r="EW6" s="525" t="s">
        <v>492</v>
      </c>
      <c r="EX6" s="524" t="s">
        <v>491</v>
      </c>
      <c r="EY6" s="526" t="s">
        <v>493</v>
      </c>
      <c r="EZ6" s="525" t="s">
        <v>492</v>
      </c>
      <c r="FA6" s="524" t="s">
        <v>491</v>
      </c>
      <c r="FB6" s="526" t="s">
        <v>493</v>
      </c>
      <c r="FC6" s="525" t="s">
        <v>492</v>
      </c>
      <c r="FD6" s="524" t="s">
        <v>491</v>
      </c>
      <c r="FE6" s="526" t="s">
        <v>493</v>
      </c>
      <c r="FF6" s="525" t="s">
        <v>492</v>
      </c>
      <c r="FG6" s="524" t="s">
        <v>491</v>
      </c>
      <c r="FH6" s="526" t="s">
        <v>493</v>
      </c>
      <c r="FI6" s="525" t="s">
        <v>492</v>
      </c>
      <c r="FJ6" s="524" t="s">
        <v>491</v>
      </c>
      <c r="FK6" s="526" t="s">
        <v>493</v>
      </c>
      <c r="FL6" s="525" t="s">
        <v>492</v>
      </c>
      <c r="FM6" s="524" t="s">
        <v>491</v>
      </c>
      <c r="FN6" s="526" t="s">
        <v>493</v>
      </c>
      <c r="FO6" s="525" t="s">
        <v>492</v>
      </c>
      <c r="FP6" s="524" t="s">
        <v>491</v>
      </c>
      <c r="FQ6" s="526" t="s">
        <v>493</v>
      </c>
      <c r="FR6" s="525" t="s">
        <v>492</v>
      </c>
      <c r="FS6" s="524" t="s">
        <v>491</v>
      </c>
      <c r="FT6" s="526" t="s">
        <v>493</v>
      </c>
      <c r="FU6" s="525" t="s">
        <v>492</v>
      </c>
      <c r="FV6" s="524" t="s">
        <v>491</v>
      </c>
      <c r="FW6" s="526" t="s">
        <v>493</v>
      </c>
      <c r="FX6" s="525" t="s">
        <v>492</v>
      </c>
      <c r="FY6" s="524" t="s">
        <v>491</v>
      </c>
      <c r="FZ6" s="526" t="s">
        <v>493</v>
      </c>
      <c r="GA6" s="525" t="s">
        <v>492</v>
      </c>
      <c r="GB6" s="524" t="s">
        <v>491</v>
      </c>
      <c r="GC6" s="526" t="s">
        <v>493</v>
      </c>
      <c r="GD6" s="525" t="s">
        <v>492</v>
      </c>
      <c r="GE6" s="524" t="s">
        <v>491</v>
      </c>
      <c r="GF6" s="526" t="s">
        <v>493</v>
      </c>
      <c r="GG6" s="525" t="s">
        <v>492</v>
      </c>
      <c r="GH6" s="524" t="s">
        <v>491</v>
      </c>
      <c r="GI6" s="526" t="s">
        <v>493</v>
      </c>
      <c r="GJ6" s="525" t="s">
        <v>492</v>
      </c>
      <c r="GK6" s="524" t="s">
        <v>491</v>
      </c>
      <c r="GL6" s="526" t="s">
        <v>493</v>
      </c>
      <c r="GM6" s="525" t="s">
        <v>492</v>
      </c>
      <c r="GN6" s="524" t="s">
        <v>491</v>
      </c>
      <c r="GO6" s="526" t="s">
        <v>493</v>
      </c>
      <c r="GP6" s="525" t="s">
        <v>492</v>
      </c>
      <c r="GQ6" s="524" t="s">
        <v>491</v>
      </c>
      <c r="GR6" s="526" t="s">
        <v>493</v>
      </c>
      <c r="GS6" s="525" t="s">
        <v>492</v>
      </c>
      <c r="GT6" s="524" t="s">
        <v>491</v>
      </c>
      <c r="GU6" s="526" t="s">
        <v>493</v>
      </c>
      <c r="GV6" s="525" t="s">
        <v>492</v>
      </c>
      <c r="GW6" s="524" t="s">
        <v>491</v>
      </c>
      <c r="GX6" s="526" t="s">
        <v>493</v>
      </c>
      <c r="GY6" s="525" t="s">
        <v>492</v>
      </c>
      <c r="GZ6" s="524" t="s">
        <v>491</v>
      </c>
      <c r="HA6" s="526" t="s">
        <v>493</v>
      </c>
      <c r="HB6" s="525" t="s">
        <v>492</v>
      </c>
      <c r="HC6" s="524" t="s">
        <v>491</v>
      </c>
      <c r="HD6" s="526" t="s">
        <v>493</v>
      </c>
      <c r="HE6" s="525" t="s">
        <v>492</v>
      </c>
      <c r="HF6" s="524" t="s">
        <v>491</v>
      </c>
    </row>
    <row r="7" spans="1:214" s="449" customFormat="1" ht="17.399999999999999" customHeight="1" x14ac:dyDescent="0.3">
      <c r="A7" s="466" t="s">
        <v>519</v>
      </c>
      <c r="B7" s="522"/>
      <c r="D7" s="521"/>
      <c r="E7" s="522"/>
      <c r="G7" s="521"/>
      <c r="H7" s="522"/>
      <c r="J7" s="521"/>
      <c r="K7" s="522"/>
      <c r="M7" s="521"/>
      <c r="N7" s="522"/>
      <c r="P7" s="521"/>
      <c r="Q7" s="522"/>
      <c r="S7" s="521"/>
      <c r="T7" s="518"/>
      <c r="U7" s="519"/>
      <c r="V7" s="516"/>
      <c r="W7" s="518"/>
      <c r="X7" s="519"/>
      <c r="Y7" s="516"/>
      <c r="Z7" s="518"/>
      <c r="AA7" s="519"/>
      <c r="AB7" s="516"/>
      <c r="AC7" s="518"/>
      <c r="AD7" s="519"/>
      <c r="AE7" s="516"/>
      <c r="AF7" s="518"/>
      <c r="AG7" s="519"/>
      <c r="AH7" s="516"/>
      <c r="AI7" s="518"/>
      <c r="AJ7" s="519"/>
      <c r="AK7" s="516"/>
      <c r="AL7" s="518"/>
      <c r="AM7" s="519"/>
      <c r="AN7" s="516"/>
      <c r="AO7" s="518"/>
      <c r="AP7" s="519"/>
      <c r="AQ7" s="516"/>
      <c r="AR7" s="518"/>
      <c r="AS7" s="519"/>
      <c r="AT7" s="516"/>
      <c r="AU7" s="520"/>
      <c r="AV7" s="517"/>
      <c r="AW7" s="516"/>
      <c r="AX7" s="520"/>
      <c r="AY7" s="517"/>
      <c r="AZ7" s="516"/>
      <c r="BA7" s="520"/>
      <c r="BB7" s="517"/>
      <c r="BC7" s="516"/>
      <c r="BD7" s="518"/>
      <c r="BE7" s="519"/>
      <c r="BF7" s="516"/>
      <c r="BG7" s="518"/>
      <c r="BH7" s="519"/>
      <c r="BI7" s="516"/>
      <c r="BJ7" s="518"/>
      <c r="BK7" s="519"/>
      <c r="BL7" s="516"/>
      <c r="BM7" s="518"/>
      <c r="BN7" s="519"/>
      <c r="BO7" s="516"/>
      <c r="BP7" s="518"/>
      <c r="BQ7" s="519"/>
      <c r="BR7" s="516"/>
      <c r="BS7" s="518"/>
      <c r="BT7" s="519"/>
      <c r="BU7" s="516"/>
      <c r="BV7" s="518"/>
      <c r="BW7" s="519"/>
      <c r="BX7" s="516"/>
      <c r="BY7" s="518"/>
      <c r="BZ7" s="519"/>
      <c r="CA7" s="516"/>
      <c r="CB7" s="518"/>
      <c r="CC7" s="519"/>
      <c r="CD7" s="516"/>
      <c r="CE7" s="518"/>
      <c r="CF7" s="519"/>
      <c r="CG7" s="516"/>
      <c r="CH7" s="518"/>
      <c r="CI7" s="519"/>
      <c r="CJ7" s="516"/>
      <c r="CK7" s="518"/>
      <c r="CL7" s="519"/>
      <c r="CM7" s="516"/>
      <c r="CN7" s="518"/>
      <c r="CO7" s="519"/>
      <c r="CP7" s="516"/>
      <c r="CQ7" s="518"/>
      <c r="CR7" s="519"/>
      <c r="CS7" s="516"/>
      <c r="CT7" s="518"/>
      <c r="CU7" s="519"/>
      <c r="CV7" s="516"/>
      <c r="CW7" s="518"/>
      <c r="CX7" s="519"/>
      <c r="CY7" s="516"/>
      <c r="CZ7" s="518"/>
      <c r="DA7" s="519"/>
      <c r="DB7" s="516"/>
      <c r="DC7" s="518"/>
      <c r="DD7" s="519"/>
      <c r="DE7" s="516"/>
      <c r="DF7" s="518"/>
      <c r="DG7" s="519"/>
      <c r="DH7" s="516"/>
      <c r="DI7" s="518"/>
      <c r="DJ7" s="519"/>
      <c r="DK7" s="516"/>
      <c r="DL7" s="518"/>
      <c r="DM7" s="519"/>
      <c r="DN7" s="516"/>
      <c r="DO7" s="518"/>
      <c r="DP7" s="519"/>
      <c r="DQ7" s="516"/>
      <c r="DR7" s="518"/>
      <c r="DS7" s="519"/>
      <c r="DT7" s="516"/>
      <c r="DU7" s="518"/>
      <c r="DV7" s="519"/>
      <c r="DW7" s="516"/>
      <c r="DX7" s="518"/>
      <c r="DY7" s="519"/>
      <c r="DZ7" s="516"/>
      <c r="EA7" s="518"/>
      <c r="EB7" s="519"/>
      <c r="EC7" s="516"/>
      <c r="ED7" s="518"/>
      <c r="EE7" s="519"/>
      <c r="EF7" s="516"/>
      <c r="EG7" s="518"/>
      <c r="EH7" s="519"/>
      <c r="EI7" s="516"/>
      <c r="EJ7" s="518"/>
      <c r="EK7" s="519"/>
      <c r="EL7" s="516"/>
      <c r="EM7" s="518"/>
      <c r="EN7" s="519"/>
      <c r="EO7" s="516"/>
      <c r="EP7" s="518"/>
      <c r="EQ7" s="519"/>
      <c r="ER7" s="516"/>
      <c r="ES7" s="518"/>
      <c r="ET7" s="519"/>
      <c r="EU7" s="516"/>
      <c r="EV7" s="518"/>
      <c r="EW7" s="519"/>
      <c r="EX7" s="516"/>
      <c r="EY7" s="518"/>
      <c r="EZ7" s="519"/>
      <c r="FA7" s="516"/>
      <c r="FB7" s="518"/>
      <c r="FC7" s="519"/>
      <c r="FD7" s="516"/>
      <c r="FE7" s="518"/>
      <c r="FF7" s="519"/>
      <c r="FG7" s="516"/>
      <c r="FH7" s="518"/>
      <c r="FI7" s="519"/>
      <c r="FJ7" s="516"/>
      <c r="FK7" s="518"/>
      <c r="FL7" s="519"/>
      <c r="FM7" s="516"/>
      <c r="FN7" s="518"/>
      <c r="FO7" s="519"/>
      <c r="FP7" s="516"/>
      <c r="FQ7" s="518"/>
      <c r="FR7" s="519"/>
      <c r="FS7" s="516"/>
      <c r="FT7" s="518"/>
      <c r="FU7" s="519"/>
      <c r="FV7" s="516"/>
      <c r="FW7" s="518"/>
      <c r="FX7" s="519"/>
      <c r="FY7" s="516"/>
      <c r="FZ7" s="518"/>
      <c r="GA7" s="519"/>
      <c r="GB7" s="516"/>
      <c r="GC7" s="518"/>
      <c r="GD7" s="519"/>
      <c r="GE7" s="516"/>
      <c r="GF7" s="518"/>
      <c r="GG7" s="519"/>
      <c r="GH7" s="516"/>
      <c r="GI7" s="518"/>
      <c r="GJ7" s="519"/>
      <c r="GK7" s="516"/>
      <c r="GL7" s="518"/>
      <c r="GM7" s="519"/>
      <c r="GN7" s="516"/>
      <c r="GO7" s="518"/>
      <c r="GP7" s="517"/>
      <c r="GQ7" s="516"/>
      <c r="GR7" s="518"/>
      <c r="GS7" s="517"/>
      <c r="GT7" s="516"/>
      <c r="GU7" s="518"/>
      <c r="GV7" s="517"/>
      <c r="GW7" s="516"/>
      <c r="GX7" s="518"/>
      <c r="GY7" s="517"/>
      <c r="GZ7" s="516"/>
      <c r="HA7" s="518"/>
      <c r="HB7" s="517"/>
      <c r="HC7" s="516"/>
      <c r="HD7" s="518"/>
      <c r="HE7" s="517"/>
      <c r="HF7" s="516"/>
    </row>
    <row r="8" spans="1:214" s="449" customFormat="1" ht="7" customHeight="1" x14ac:dyDescent="0.3">
      <c r="A8" s="523"/>
      <c r="B8" s="522"/>
      <c r="D8" s="521"/>
      <c r="E8" s="522"/>
      <c r="G8" s="521"/>
      <c r="H8" s="522"/>
      <c r="J8" s="521"/>
      <c r="K8" s="522"/>
      <c r="M8" s="521"/>
      <c r="N8" s="522"/>
      <c r="P8" s="521"/>
      <c r="Q8" s="522"/>
      <c r="S8" s="521"/>
      <c r="T8" s="518"/>
      <c r="U8" s="519"/>
      <c r="V8" s="516"/>
      <c r="W8" s="518"/>
      <c r="X8" s="519"/>
      <c r="Y8" s="516"/>
      <c r="Z8" s="518"/>
      <c r="AA8" s="519"/>
      <c r="AB8" s="516"/>
      <c r="AC8" s="518"/>
      <c r="AD8" s="519"/>
      <c r="AE8" s="516"/>
      <c r="AF8" s="518"/>
      <c r="AG8" s="519"/>
      <c r="AH8" s="516"/>
      <c r="AI8" s="518"/>
      <c r="AJ8" s="519"/>
      <c r="AK8" s="516"/>
      <c r="AL8" s="518"/>
      <c r="AM8" s="519"/>
      <c r="AN8" s="516"/>
      <c r="AO8" s="518"/>
      <c r="AP8" s="519"/>
      <c r="AQ8" s="516"/>
      <c r="AR8" s="518"/>
      <c r="AS8" s="519"/>
      <c r="AT8" s="516"/>
      <c r="AU8" s="520"/>
      <c r="AV8" s="517"/>
      <c r="AW8" s="516"/>
      <c r="AX8" s="520"/>
      <c r="AY8" s="517"/>
      <c r="AZ8" s="516"/>
      <c r="BA8" s="520"/>
      <c r="BB8" s="517"/>
      <c r="BC8" s="516"/>
      <c r="BD8" s="518"/>
      <c r="BE8" s="519"/>
      <c r="BF8" s="516"/>
      <c r="BG8" s="518"/>
      <c r="BH8" s="519"/>
      <c r="BI8" s="516"/>
      <c r="BJ8" s="518"/>
      <c r="BK8" s="519"/>
      <c r="BL8" s="516"/>
      <c r="BM8" s="518"/>
      <c r="BN8" s="519"/>
      <c r="BO8" s="516"/>
      <c r="BP8" s="518"/>
      <c r="BQ8" s="519"/>
      <c r="BR8" s="516"/>
      <c r="BS8" s="518"/>
      <c r="BT8" s="519"/>
      <c r="BU8" s="516"/>
      <c r="BV8" s="518"/>
      <c r="BW8" s="519"/>
      <c r="BX8" s="516"/>
      <c r="BY8" s="518"/>
      <c r="BZ8" s="519"/>
      <c r="CA8" s="516"/>
      <c r="CB8" s="518"/>
      <c r="CC8" s="519"/>
      <c r="CD8" s="516"/>
      <c r="CE8" s="518"/>
      <c r="CF8" s="519"/>
      <c r="CG8" s="516"/>
      <c r="CH8" s="518"/>
      <c r="CI8" s="519"/>
      <c r="CJ8" s="516"/>
      <c r="CK8" s="518"/>
      <c r="CL8" s="519"/>
      <c r="CM8" s="516"/>
      <c r="CN8" s="518"/>
      <c r="CO8" s="519"/>
      <c r="CP8" s="516"/>
      <c r="CQ8" s="518"/>
      <c r="CR8" s="519"/>
      <c r="CS8" s="516"/>
      <c r="CT8" s="518"/>
      <c r="CU8" s="519"/>
      <c r="CV8" s="516"/>
      <c r="CW8" s="518"/>
      <c r="CX8" s="519"/>
      <c r="CY8" s="516"/>
      <c r="CZ8" s="518"/>
      <c r="DA8" s="519"/>
      <c r="DB8" s="516"/>
      <c r="DC8" s="518"/>
      <c r="DD8" s="519"/>
      <c r="DE8" s="516"/>
      <c r="DF8" s="518"/>
      <c r="DG8" s="519"/>
      <c r="DH8" s="516"/>
      <c r="DI8" s="518"/>
      <c r="DJ8" s="519"/>
      <c r="DK8" s="516"/>
      <c r="DL8" s="518"/>
      <c r="DM8" s="519"/>
      <c r="DN8" s="516"/>
      <c r="DO8" s="518"/>
      <c r="DP8" s="519"/>
      <c r="DQ8" s="516"/>
      <c r="DR8" s="518"/>
      <c r="DS8" s="519"/>
      <c r="DT8" s="516"/>
      <c r="DU8" s="518"/>
      <c r="DV8" s="519"/>
      <c r="DW8" s="516"/>
      <c r="DX8" s="518"/>
      <c r="DY8" s="519"/>
      <c r="DZ8" s="516"/>
      <c r="EA8" s="518"/>
      <c r="EB8" s="519"/>
      <c r="EC8" s="516"/>
      <c r="ED8" s="518"/>
      <c r="EE8" s="519"/>
      <c r="EF8" s="516"/>
      <c r="EG8" s="518"/>
      <c r="EH8" s="519"/>
      <c r="EI8" s="516"/>
      <c r="EJ8" s="518"/>
      <c r="EK8" s="519"/>
      <c r="EL8" s="516"/>
      <c r="EM8" s="518"/>
      <c r="EN8" s="519"/>
      <c r="EO8" s="516"/>
      <c r="EP8" s="518"/>
      <c r="EQ8" s="519"/>
      <c r="ER8" s="516"/>
      <c r="ES8" s="518"/>
      <c r="ET8" s="519"/>
      <c r="EU8" s="516"/>
      <c r="EV8" s="518"/>
      <c r="EW8" s="519"/>
      <c r="EX8" s="516"/>
      <c r="EY8" s="518"/>
      <c r="EZ8" s="519"/>
      <c r="FA8" s="516"/>
      <c r="FB8" s="518"/>
      <c r="FC8" s="519"/>
      <c r="FD8" s="516"/>
      <c r="FE8" s="518"/>
      <c r="FF8" s="519"/>
      <c r="FG8" s="516"/>
      <c r="FH8" s="518"/>
      <c r="FI8" s="519"/>
      <c r="FJ8" s="516"/>
      <c r="FK8" s="518"/>
      <c r="FL8" s="519"/>
      <c r="FM8" s="516"/>
      <c r="FN8" s="518"/>
      <c r="FO8" s="519"/>
      <c r="FP8" s="516"/>
      <c r="FQ8" s="518"/>
      <c r="FR8" s="519"/>
      <c r="FS8" s="516"/>
      <c r="FT8" s="518"/>
      <c r="FU8" s="519"/>
      <c r="FV8" s="516"/>
      <c r="FW8" s="518"/>
      <c r="FX8" s="519"/>
      <c r="FY8" s="516"/>
      <c r="FZ8" s="518"/>
      <c r="GA8" s="519"/>
      <c r="GB8" s="516"/>
      <c r="GC8" s="518"/>
      <c r="GD8" s="519"/>
      <c r="GE8" s="516"/>
      <c r="GF8" s="518"/>
      <c r="GG8" s="519"/>
      <c r="GH8" s="516"/>
      <c r="GI8" s="518"/>
      <c r="GJ8" s="519"/>
      <c r="GK8" s="516"/>
      <c r="GL8" s="518"/>
      <c r="GM8" s="519"/>
      <c r="GN8" s="516"/>
      <c r="GO8" s="518"/>
      <c r="GP8" s="517"/>
      <c r="GQ8" s="516"/>
      <c r="GR8" s="518"/>
      <c r="GS8" s="517"/>
      <c r="GT8" s="516"/>
      <c r="GU8" s="518"/>
      <c r="GV8" s="517"/>
      <c r="GW8" s="516"/>
      <c r="GX8" s="518"/>
      <c r="GY8" s="517"/>
      <c r="GZ8" s="516"/>
      <c r="HA8" s="518"/>
      <c r="HB8" s="517"/>
      <c r="HC8" s="516"/>
      <c r="HD8" s="518"/>
      <c r="HE8" s="517"/>
      <c r="HF8" s="516"/>
    </row>
    <row r="9" spans="1:214" s="449" customFormat="1" ht="17.399999999999999" customHeight="1" x14ac:dyDescent="0.3">
      <c r="A9" s="461" t="s">
        <v>490</v>
      </c>
      <c r="B9" s="460">
        <v>20255</v>
      </c>
      <c r="C9" s="514">
        <v>582909</v>
      </c>
      <c r="D9" s="458">
        <v>10.370219480909947</v>
      </c>
      <c r="E9" s="460">
        <v>18724</v>
      </c>
      <c r="F9" s="514">
        <v>643788</v>
      </c>
      <c r="G9" s="458">
        <v>10.965023511880785</v>
      </c>
      <c r="H9" s="460">
        <v>17451</v>
      </c>
      <c r="I9" s="514">
        <v>595084</v>
      </c>
      <c r="J9" s="458">
        <v>10.372694972166755</v>
      </c>
      <c r="K9" s="460">
        <v>20000</v>
      </c>
      <c r="L9" s="514">
        <v>650000</v>
      </c>
      <c r="M9" s="458">
        <v>11.922230374174616</v>
      </c>
      <c r="N9" s="460">
        <v>17000</v>
      </c>
      <c r="O9" s="514">
        <v>514000</v>
      </c>
      <c r="P9" s="458">
        <v>9.6725630410237109</v>
      </c>
      <c r="Q9" s="457">
        <v>15</v>
      </c>
      <c r="R9" s="512">
        <v>438</v>
      </c>
      <c r="S9" s="432">
        <v>8.2891748675246024</v>
      </c>
      <c r="T9" s="457">
        <v>13</v>
      </c>
      <c r="U9" s="512">
        <v>399</v>
      </c>
      <c r="V9" s="432">
        <v>7.8097475044039921</v>
      </c>
      <c r="W9" s="457">
        <v>59</v>
      </c>
      <c r="X9" s="512">
        <v>1927</v>
      </c>
      <c r="Y9" s="432">
        <v>31.070622379877459</v>
      </c>
      <c r="Z9" s="457">
        <v>69</v>
      </c>
      <c r="AA9" s="512">
        <v>2128</v>
      </c>
      <c r="AB9" s="432">
        <v>34.64669488765874</v>
      </c>
      <c r="AC9" s="457">
        <v>91</v>
      </c>
      <c r="AD9" s="513">
        <v>2799</v>
      </c>
      <c r="AE9" s="432">
        <v>53.031451307313368</v>
      </c>
      <c r="AF9" s="457">
        <v>91</v>
      </c>
      <c r="AG9" s="513">
        <v>2661</v>
      </c>
      <c r="AH9" s="432">
        <v>53.166833166833172</v>
      </c>
      <c r="AI9" s="457">
        <v>87.4</v>
      </c>
      <c r="AJ9" s="513">
        <v>2240</v>
      </c>
      <c r="AK9" s="432">
        <v>46.920821114369502</v>
      </c>
      <c r="AL9" s="507">
        <v>78.599999999999994</v>
      </c>
      <c r="AM9" s="462">
        <v>3582</v>
      </c>
      <c r="AN9" s="432">
        <v>62.996834329933172</v>
      </c>
      <c r="AO9" s="505">
        <v>254</v>
      </c>
      <c r="AP9" s="462">
        <v>7521</v>
      </c>
      <c r="AQ9" s="432">
        <v>83.566666666666663</v>
      </c>
      <c r="AR9" s="457">
        <v>253.7</v>
      </c>
      <c r="AS9" s="512">
        <v>7521</v>
      </c>
      <c r="AT9" s="432">
        <v>83.98659966499163</v>
      </c>
      <c r="AU9" s="509">
        <v>255.7</v>
      </c>
      <c r="AV9" s="451">
        <v>7582</v>
      </c>
      <c r="AW9" s="450">
        <v>85.047672462142458</v>
      </c>
      <c r="AX9" s="509">
        <v>255.5</v>
      </c>
      <c r="AY9" s="451">
        <v>7920</v>
      </c>
      <c r="AZ9" s="450">
        <v>86.227544910179645</v>
      </c>
      <c r="BA9" s="509">
        <v>255.5</v>
      </c>
      <c r="BB9" s="451">
        <v>7933</v>
      </c>
      <c r="BC9" s="450">
        <v>87.329370321444301</v>
      </c>
      <c r="BD9" s="452">
        <v>258.5</v>
      </c>
      <c r="BE9" s="490">
        <v>8143</v>
      </c>
      <c r="BF9" s="450">
        <v>88.184968594325312</v>
      </c>
      <c r="BG9" s="452">
        <v>265</v>
      </c>
      <c r="BH9" s="490">
        <v>8328</v>
      </c>
      <c r="BI9" s="450">
        <v>89.567648956764899</v>
      </c>
      <c r="BJ9" s="452">
        <v>266</v>
      </c>
      <c r="BK9" s="490">
        <v>8258</v>
      </c>
      <c r="BL9" s="450">
        <v>90.350109409190367</v>
      </c>
      <c r="BM9" s="452">
        <v>266</v>
      </c>
      <c r="BN9" s="490">
        <v>8160</v>
      </c>
      <c r="BO9" s="450">
        <v>91.633913531723749</v>
      </c>
      <c r="BP9" s="452">
        <v>282</v>
      </c>
      <c r="BQ9" s="490">
        <v>8634</v>
      </c>
      <c r="BR9" s="450">
        <v>92.599742599742598</v>
      </c>
      <c r="BS9" s="452">
        <v>282</v>
      </c>
      <c r="BT9" s="490">
        <v>8653</v>
      </c>
      <c r="BU9" s="450">
        <v>93.293800539083563</v>
      </c>
      <c r="BV9" s="452">
        <v>281</v>
      </c>
      <c r="BW9" s="490">
        <v>8963</v>
      </c>
      <c r="BX9" s="450">
        <v>94.377171738443721</v>
      </c>
      <c r="BY9" s="452">
        <v>295</v>
      </c>
      <c r="BZ9" s="490">
        <v>9475</v>
      </c>
      <c r="CA9" s="450">
        <v>95.485236319661396</v>
      </c>
      <c r="CB9" s="452">
        <v>295</v>
      </c>
      <c r="CC9" s="490">
        <v>10848</v>
      </c>
      <c r="CD9" s="450">
        <v>96.727596968345964</v>
      </c>
      <c r="CE9" s="452">
        <v>307</v>
      </c>
      <c r="CF9" s="490">
        <v>10981</v>
      </c>
      <c r="CG9" s="450">
        <v>96.979599046189165</v>
      </c>
      <c r="CH9" s="452">
        <v>304</v>
      </c>
      <c r="CI9" s="490">
        <v>11005</v>
      </c>
      <c r="CJ9" s="450">
        <v>97.037298298210032</v>
      </c>
      <c r="CK9" s="452">
        <v>304</v>
      </c>
      <c r="CL9" s="490">
        <v>11114</v>
      </c>
      <c r="CM9" s="450">
        <v>97.337537221930276</v>
      </c>
      <c r="CN9" s="452">
        <v>298</v>
      </c>
      <c r="CO9" s="490">
        <v>10722</v>
      </c>
      <c r="CP9" s="450">
        <v>97.189992748368383</v>
      </c>
      <c r="CQ9" s="452">
        <v>297.7</v>
      </c>
      <c r="CR9" s="490">
        <v>10849.6</v>
      </c>
      <c r="CS9" s="450">
        <v>97.466671457831751</v>
      </c>
      <c r="CT9" s="452">
        <v>303</v>
      </c>
      <c r="CU9" s="490">
        <v>11034</v>
      </c>
      <c r="CV9" s="450">
        <v>97.490722742534018</v>
      </c>
      <c r="CW9" s="452">
        <v>301</v>
      </c>
      <c r="CX9" s="490">
        <v>11097</v>
      </c>
      <c r="CY9" s="450">
        <v>97.839887145124322</v>
      </c>
      <c r="CZ9" s="452">
        <v>293</v>
      </c>
      <c r="DA9" s="490">
        <v>10637</v>
      </c>
      <c r="DB9" s="450">
        <v>97.748575629479873</v>
      </c>
      <c r="DC9" s="452">
        <v>323</v>
      </c>
      <c r="DD9" s="490">
        <v>11397</v>
      </c>
      <c r="DE9" s="450">
        <v>98.030276965422331</v>
      </c>
      <c r="DF9" s="452">
        <v>313</v>
      </c>
      <c r="DG9" s="490">
        <v>10819</v>
      </c>
      <c r="DH9" s="450">
        <v>97.909502262443439</v>
      </c>
      <c r="DI9" s="452">
        <v>322</v>
      </c>
      <c r="DJ9" s="490">
        <v>11056</v>
      </c>
      <c r="DK9" s="450">
        <v>98.162123768090197</v>
      </c>
      <c r="DL9" s="452">
        <v>311</v>
      </c>
      <c r="DM9" s="490">
        <v>10606</v>
      </c>
      <c r="DN9" s="450">
        <v>98.040303198373081</v>
      </c>
      <c r="DO9" s="452">
        <v>333</v>
      </c>
      <c r="DP9" s="490">
        <v>11742</v>
      </c>
      <c r="DQ9" s="450">
        <v>98.490186210367398</v>
      </c>
      <c r="DR9" s="452">
        <v>343</v>
      </c>
      <c r="DS9" s="490">
        <v>11954</v>
      </c>
      <c r="DT9" s="450">
        <v>98.532805802835483</v>
      </c>
      <c r="DU9" s="452">
        <v>345</v>
      </c>
      <c r="DV9" s="490">
        <v>12016</v>
      </c>
      <c r="DW9" s="450">
        <v>98.734593262119958</v>
      </c>
      <c r="DX9" s="452">
        <v>329</v>
      </c>
      <c r="DY9" s="490">
        <v>11632</v>
      </c>
      <c r="DZ9" s="450">
        <v>98.735251676428149</v>
      </c>
      <c r="EA9" s="452">
        <v>332</v>
      </c>
      <c r="EB9" s="490">
        <v>11950</v>
      </c>
      <c r="EC9" s="450">
        <v>98.948414341309928</v>
      </c>
      <c r="ED9" s="452">
        <v>318</v>
      </c>
      <c r="EE9" s="490">
        <v>11724</v>
      </c>
      <c r="EF9" s="450">
        <v>98.945058654738787</v>
      </c>
      <c r="EG9" s="452">
        <v>432</v>
      </c>
      <c r="EH9" s="490">
        <v>15894</v>
      </c>
      <c r="EI9" s="450">
        <v>99.331291794262853</v>
      </c>
      <c r="EJ9" s="452">
        <v>477.7</v>
      </c>
      <c r="EK9" s="490">
        <v>18976.599999999999</v>
      </c>
      <c r="EL9" s="450">
        <v>99.436703852945641</v>
      </c>
      <c r="EM9" s="452">
        <v>506</v>
      </c>
      <c r="EN9" s="490">
        <v>20530</v>
      </c>
      <c r="EO9" s="450">
        <v>99.941583098043026</v>
      </c>
      <c r="EP9" s="452">
        <v>523</v>
      </c>
      <c r="EQ9" s="490">
        <v>21090</v>
      </c>
      <c r="ER9" s="450">
        <v>99.943133352288882</v>
      </c>
      <c r="ES9" s="452">
        <v>551</v>
      </c>
      <c r="ET9" s="490">
        <v>21958</v>
      </c>
      <c r="EU9" s="450">
        <v>99.940831095535017</v>
      </c>
      <c r="EV9" s="452">
        <v>561</v>
      </c>
      <c r="EW9" s="490">
        <v>22942</v>
      </c>
      <c r="EX9" s="450">
        <v>99.973853930625765</v>
      </c>
      <c r="EY9" s="452">
        <v>580</v>
      </c>
      <c r="EZ9" s="490">
        <v>25135</v>
      </c>
      <c r="FA9" s="450">
        <v>100</v>
      </c>
      <c r="FB9" s="452">
        <v>583</v>
      </c>
      <c r="FC9" s="490">
        <v>25316.7</v>
      </c>
      <c r="FD9" s="450">
        <v>100</v>
      </c>
      <c r="FE9" s="452">
        <v>598</v>
      </c>
      <c r="FF9" s="490">
        <v>26460.27</v>
      </c>
      <c r="FG9" s="450">
        <v>100</v>
      </c>
      <c r="FH9" s="452">
        <v>593</v>
      </c>
      <c r="FI9" s="490">
        <v>26914.89</v>
      </c>
      <c r="FJ9" s="450">
        <v>100</v>
      </c>
      <c r="FK9" s="452">
        <v>626</v>
      </c>
      <c r="FL9" s="490">
        <v>28693</v>
      </c>
      <c r="FM9" s="450">
        <v>100</v>
      </c>
      <c r="FN9" s="452">
        <v>628</v>
      </c>
      <c r="FO9" s="490">
        <v>28974</v>
      </c>
      <c r="FP9" s="450">
        <v>100</v>
      </c>
      <c r="FQ9" s="452">
        <v>669</v>
      </c>
      <c r="FR9" s="490">
        <v>30067</v>
      </c>
      <c r="FS9" s="450">
        <v>100</v>
      </c>
      <c r="FT9" s="452">
        <v>671</v>
      </c>
      <c r="FU9" s="490">
        <v>31244</v>
      </c>
      <c r="FV9" s="450">
        <v>100</v>
      </c>
      <c r="FW9" s="452">
        <v>682.4</v>
      </c>
      <c r="FX9" s="490">
        <v>31394</v>
      </c>
      <c r="FY9" s="450">
        <v>100</v>
      </c>
      <c r="FZ9" s="452">
        <v>656.6</v>
      </c>
      <c r="GA9" s="490">
        <v>29496.1</v>
      </c>
      <c r="GB9" s="515">
        <v>99.922084345389933</v>
      </c>
      <c r="GC9" s="452">
        <v>662</v>
      </c>
      <c r="GD9" s="490">
        <v>29438.400000000001</v>
      </c>
      <c r="GE9" s="515">
        <v>99.837213088067728</v>
      </c>
      <c r="GF9" s="452">
        <v>647</v>
      </c>
      <c r="GG9" s="490">
        <v>30347.5</v>
      </c>
      <c r="GH9" s="515">
        <v>99.888089791484944</v>
      </c>
      <c r="GI9" s="452">
        <v>645</v>
      </c>
      <c r="GJ9" s="490">
        <v>30676</v>
      </c>
      <c r="GK9" s="515">
        <v>99.830773236136423</v>
      </c>
      <c r="GL9" s="452">
        <v>623</v>
      </c>
      <c r="GM9" s="490">
        <v>28899.4</v>
      </c>
      <c r="GN9" s="515">
        <v>99.844529511753564</v>
      </c>
      <c r="GO9" s="452">
        <v>622</v>
      </c>
      <c r="GP9" s="451">
        <v>29535</v>
      </c>
      <c r="GQ9" s="515">
        <v>99.84847777978365</v>
      </c>
      <c r="GR9" s="452">
        <v>603</v>
      </c>
      <c r="GS9" s="451">
        <v>27795.05</v>
      </c>
      <c r="GT9" s="515">
        <v>99.892362982929015</v>
      </c>
      <c r="GU9" s="452">
        <v>601.9</v>
      </c>
      <c r="GV9" s="451">
        <v>27392.01</v>
      </c>
      <c r="GW9" s="515">
        <v>99.872643466606192</v>
      </c>
      <c r="GX9" s="452">
        <v>595.28994301</v>
      </c>
      <c r="GY9" s="451">
        <v>27435.339</v>
      </c>
      <c r="GZ9" s="515">
        <v>99.931230970365604</v>
      </c>
      <c r="HA9" s="452">
        <v>602</v>
      </c>
      <c r="HB9" s="451">
        <v>27794</v>
      </c>
      <c r="HC9" s="515">
        <v>99.931686621364108</v>
      </c>
      <c r="HD9" s="452">
        <v>594</v>
      </c>
      <c r="HE9" s="451">
        <v>27990</v>
      </c>
      <c r="HF9" s="515">
        <v>99.98928303504448</v>
      </c>
    </row>
    <row r="10" spans="1:214" s="449" customFormat="1" ht="17.399999999999999" customHeight="1" x14ac:dyDescent="0.3">
      <c r="A10" s="461" t="s">
        <v>518</v>
      </c>
      <c r="B10" s="460"/>
      <c r="C10" s="514"/>
      <c r="D10" s="458"/>
      <c r="E10" s="460"/>
      <c r="F10" s="514"/>
      <c r="G10" s="458"/>
      <c r="H10" s="460"/>
      <c r="I10" s="514"/>
      <c r="J10" s="458"/>
      <c r="K10" s="460"/>
      <c r="L10" s="514"/>
      <c r="M10" s="458"/>
      <c r="N10" s="460"/>
      <c r="O10" s="514"/>
      <c r="P10" s="458"/>
      <c r="Q10" s="457"/>
      <c r="R10" s="512"/>
      <c r="S10" s="432"/>
      <c r="T10" s="457"/>
      <c r="U10" s="512"/>
      <c r="V10" s="432"/>
      <c r="W10" s="457"/>
      <c r="X10" s="512"/>
      <c r="Y10" s="432"/>
      <c r="Z10" s="457"/>
      <c r="AA10" s="512"/>
      <c r="AB10" s="432"/>
      <c r="AC10" s="457"/>
      <c r="AD10" s="513"/>
      <c r="AE10" s="432"/>
      <c r="AF10" s="457"/>
      <c r="AG10" s="513"/>
      <c r="AH10" s="432"/>
      <c r="AI10" s="457"/>
      <c r="AJ10" s="513"/>
      <c r="AK10" s="432"/>
      <c r="AL10" s="507"/>
      <c r="AM10" s="462"/>
      <c r="AN10" s="432"/>
      <c r="AO10" s="505"/>
      <c r="AP10" s="462"/>
      <c r="AQ10" s="432"/>
      <c r="AR10" s="457"/>
      <c r="AS10" s="512"/>
      <c r="AT10" s="432"/>
      <c r="AU10" s="509"/>
      <c r="AV10" s="451"/>
      <c r="AW10" s="450"/>
      <c r="AX10" s="509"/>
      <c r="AY10" s="451"/>
      <c r="AZ10" s="450"/>
      <c r="BA10" s="509"/>
      <c r="BB10" s="451"/>
      <c r="BC10" s="450"/>
      <c r="BD10" s="452"/>
      <c r="BE10" s="490"/>
      <c r="BF10" s="450"/>
      <c r="BG10" s="452"/>
      <c r="BH10" s="490"/>
      <c r="BI10" s="450"/>
      <c r="BJ10" s="452"/>
      <c r="BK10" s="490"/>
      <c r="BL10" s="450"/>
      <c r="BM10" s="452"/>
      <c r="BN10" s="490"/>
      <c r="BO10" s="450"/>
      <c r="BP10" s="452"/>
      <c r="BQ10" s="490"/>
      <c r="BR10" s="450"/>
      <c r="BS10" s="452"/>
      <c r="BT10" s="490"/>
      <c r="BU10" s="450"/>
      <c r="BV10" s="452"/>
      <c r="BW10" s="490"/>
      <c r="BX10" s="450"/>
      <c r="BY10" s="452"/>
      <c r="BZ10" s="490"/>
      <c r="CA10" s="450"/>
      <c r="CB10" s="452"/>
      <c r="CC10" s="490"/>
      <c r="CD10" s="450"/>
      <c r="CE10" s="452"/>
      <c r="CF10" s="490"/>
      <c r="CG10" s="450"/>
      <c r="CH10" s="452"/>
      <c r="CI10" s="490"/>
      <c r="CJ10" s="450"/>
      <c r="CK10" s="452"/>
      <c r="CL10" s="490"/>
      <c r="CM10" s="450"/>
      <c r="CN10" s="452"/>
      <c r="CO10" s="490"/>
      <c r="CP10" s="450"/>
      <c r="CQ10" s="452"/>
      <c r="CR10" s="490"/>
      <c r="CS10" s="450"/>
      <c r="CT10" s="452"/>
      <c r="CU10" s="490"/>
      <c r="CV10" s="450"/>
      <c r="CW10" s="452"/>
      <c r="CX10" s="490"/>
      <c r="CY10" s="450"/>
      <c r="CZ10" s="452"/>
      <c r="DA10" s="490"/>
      <c r="DB10" s="450"/>
      <c r="DC10" s="452"/>
      <c r="DD10" s="490"/>
      <c r="DE10" s="450"/>
      <c r="DF10" s="452"/>
      <c r="DG10" s="490"/>
      <c r="DH10" s="450"/>
      <c r="DI10" s="452"/>
      <c r="DJ10" s="490"/>
      <c r="DK10" s="450"/>
      <c r="DL10" s="452"/>
      <c r="DM10" s="490"/>
      <c r="DN10" s="450"/>
      <c r="DO10" s="452"/>
      <c r="DP10" s="490"/>
      <c r="DQ10" s="450"/>
      <c r="DR10" s="452"/>
      <c r="DS10" s="490"/>
      <c r="DT10" s="450"/>
      <c r="DU10" s="452"/>
      <c r="DV10" s="490"/>
      <c r="DW10" s="450"/>
      <c r="DX10" s="452"/>
      <c r="DY10" s="490"/>
      <c r="DZ10" s="450"/>
      <c r="EA10" s="452"/>
      <c r="EB10" s="490"/>
      <c r="EC10" s="450"/>
      <c r="ED10" s="452"/>
      <c r="EE10" s="490"/>
      <c r="EF10" s="450"/>
      <c r="EG10" s="452"/>
      <c r="EH10" s="490"/>
      <c r="EI10" s="450"/>
      <c r="EJ10" s="452"/>
      <c r="EK10" s="490"/>
      <c r="EL10" s="450"/>
      <c r="EM10" s="452"/>
      <c r="EN10" s="490"/>
      <c r="EO10" s="450"/>
      <c r="EP10" s="452"/>
      <c r="EQ10" s="490"/>
      <c r="ER10" s="450"/>
      <c r="ES10" s="452"/>
      <c r="ET10" s="490"/>
      <c r="EU10" s="450"/>
      <c r="EV10" s="452"/>
      <c r="EW10" s="490"/>
      <c r="EX10" s="450"/>
      <c r="EY10" s="452"/>
      <c r="EZ10" s="490"/>
      <c r="FA10" s="450"/>
      <c r="FB10" s="452"/>
      <c r="FC10" s="490"/>
      <c r="FD10" s="450"/>
      <c r="FE10" s="452"/>
      <c r="FF10" s="490"/>
      <c r="FG10" s="450"/>
      <c r="FH10" s="452">
        <v>0</v>
      </c>
      <c r="FI10" s="490">
        <v>0</v>
      </c>
      <c r="FJ10" s="450">
        <v>0</v>
      </c>
      <c r="FK10" s="452">
        <v>0</v>
      </c>
      <c r="FL10" s="490">
        <v>0</v>
      </c>
      <c r="FM10" s="450">
        <v>0</v>
      </c>
      <c r="FN10" s="452">
        <v>0</v>
      </c>
      <c r="FO10" s="490">
        <v>0</v>
      </c>
      <c r="FP10" s="450">
        <v>0</v>
      </c>
      <c r="FQ10" s="452">
        <v>0</v>
      </c>
      <c r="FR10" s="490">
        <v>0</v>
      </c>
      <c r="FS10" s="450">
        <v>0</v>
      </c>
      <c r="FT10" s="452">
        <v>0</v>
      </c>
      <c r="FU10" s="490">
        <v>0</v>
      </c>
      <c r="FV10" s="450">
        <v>0</v>
      </c>
      <c r="FW10" s="452">
        <v>0</v>
      </c>
      <c r="FX10" s="490">
        <v>0</v>
      </c>
      <c r="FY10" s="450">
        <v>0</v>
      </c>
      <c r="FZ10" s="452">
        <v>1.8</v>
      </c>
      <c r="GA10" s="490">
        <v>23</v>
      </c>
      <c r="GB10" s="515">
        <v>7.7915654610066026E-2</v>
      </c>
      <c r="GC10" s="452">
        <v>4</v>
      </c>
      <c r="GD10" s="490">
        <v>48</v>
      </c>
      <c r="GE10" s="515">
        <v>0.16278691193228062</v>
      </c>
      <c r="GF10" s="452">
        <v>3</v>
      </c>
      <c r="GG10" s="490">
        <v>34</v>
      </c>
      <c r="GH10" s="515">
        <v>0.11191020851505028</v>
      </c>
      <c r="GI10" s="452">
        <v>4</v>
      </c>
      <c r="GJ10" s="490">
        <v>52</v>
      </c>
      <c r="GK10" s="515">
        <v>0.16922676386357721</v>
      </c>
      <c r="GL10" s="452">
        <v>4</v>
      </c>
      <c r="GM10" s="490">
        <v>45</v>
      </c>
      <c r="GN10" s="515">
        <v>0.15547048824643109</v>
      </c>
      <c r="GO10" s="452">
        <v>3</v>
      </c>
      <c r="GP10" s="451">
        <v>44.82</v>
      </c>
      <c r="GQ10" s="515">
        <v>0.1515222202163502</v>
      </c>
      <c r="GR10" s="452">
        <v>2.25</v>
      </c>
      <c r="GS10" s="451">
        <v>29.95</v>
      </c>
      <c r="GT10" s="515">
        <v>0.10763701707097934</v>
      </c>
      <c r="GU10" s="452">
        <v>2.65</v>
      </c>
      <c r="GV10" s="451">
        <v>34.93</v>
      </c>
      <c r="GW10" s="515">
        <v>0.12735653339380915</v>
      </c>
      <c r="GX10" s="452">
        <v>1.43</v>
      </c>
      <c r="GY10" s="451">
        <v>18.88</v>
      </c>
      <c r="GZ10" s="515">
        <v>6.8769029634388787E-2</v>
      </c>
      <c r="HA10" s="452">
        <v>1</v>
      </c>
      <c r="HB10" s="451">
        <v>19</v>
      </c>
      <c r="HC10" s="515">
        <v>6.8313378635889682E-2</v>
      </c>
      <c r="HD10" s="452">
        <v>0.2</v>
      </c>
      <c r="HE10" s="451">
        <v>3</v>
      </c>
      <c r="HF10" s="515">
        <v>1.0716964955524596E-2</v>
      </c>
    </row>
    <row r="11" spans="1:214" s="449" customFormat="1" ht="17.399999999999999" customHeight="1" x14ac:dyDescent="0.3">
      <c r="A11" s="461" t="s">
        <v>487</v>
      </c>
      <c r="B11" s="460">
        <v>85960</v>
      </c>
      <c r="C11" s="514">
        <v>3804624</v>
      </c>
      <c r="D11" s="458">
        <v>67.686012606320233</v>
      </c>
      <c r="E11" s="460">
        <v>86227</v>
      </c>
      <c r="F11" s="514">
        <v>3958456</v>
      </c>
      <c r="G11" s="458">
        <v>67.420584277348397</v>
      </c>
      <c r="H11" s="460">
        <v>85443</v>
      </c>
      <c r="I11" s="514">
        <v>3868890</v>
      </c>
      <c r="J11" s="458">
        <v>67.437228779241636</v>
      </c>
      <c r="K11" s="460">
        <v>159000</v>
      </c>
      <c r="L11" s="514">
        <v>4133000</v>
      </c>
      <c r="M11" s="458">
        <v>75.807043286867199</v>
      </c>
      <c r="N11" s="460">
        <v>162000</v>
      </c>
      <c r="O11" s="514">
        <v>4212000</v>
      </c>
      <c r="P11" s="458">
        <v>79.262325931501692</v>
      </c>
      <c r="Q11" s="457">
        <v>98</v>
      </c>
      <c r="R11" s="512">
        <v>4312</v>
      </c>
      <c r="S11" s="432">
        <v>81.604844814534445</v>
      </c>
      <c r="T11" s="457">
        <v>158.69999999999999</v>
      </c>
      <c r="U11" s="512">
        <v>4177</v>
      </c>
      <c r="V11" s="432">
        <v>81.757682521041303</v>
      </c>
      <c r="W11" s="457">
        <v>92.3</v>
      </c>
      <c r="X11" s="512">
        <v>3771</v>
      </c>
      <c r="Y11" s="432">
        <v>60.802966784908094</v>
      </c>
      <c r="Z11" s="457">
        <v>85</v>
      </c>
      <c r="AA11" s="512">
        <v>3520</v>
      </c>
      <c r="AB11" s="432">
        <v>57.310322370563341</v>
      </c>
      <c r="AC11" s="457">
        <v>84</v>
      </c>
      <c r="AD11" s="513">
        <v>2044</v>
      </c>
      <c r="AE11" s="432">
        <v>38.726790450928384</v>
      </c>
      <c r="AF11" s="457">
        <v>84</v>
      </c>
      <c r="AG11" s="513">
        <v>1919</v>
      </c>
      <c r="AH11" s="432">
        <v>38.341658341658338</v>
      </c>
      <c r="AI11" s="457">
        <v>82</v>
      </c>
      <c r="AJ11" s="513">
        <v>2111</v>
      </c>
      <c r="AK11" s="432">
        <v>44.218684541265183</v>
      </c>
      <c r="AL11" s="507">
        <v>82.7</v>
      </c>
      <c r="AM11" s="462">
        <v>1722</v>
      </c>
      <c r="AN11" s="432">
        <v>30.284910306014773</v>
      </c>
      <c r="AO11" s="505">
        <v>32</v>
      </c>
      <c r="AP11" s="462">
        <v>1219</v>
      </c>
      <c r="AQ11" s="432">
        <v>13.544444444444444</v>
      </c>
      <c r="AR11" s="457">
        <v>30.5</v>
      </c>
      <c r="AS11" s="512">
        <v>1172</v>
      </c>
      <c r="AT11" s="432">
        <v>13.087660524846454</v>
      </c>
      <c r="AU11" s="509">
        <v>27.85</v>
      </c>
      <c r="AV11" s="451">
        <v>1101</v>
      </c>
      <c r="AW11" s="450">
        <v>12.34997195737521</v>
      </c>
      <c r="AX11" s="509">
        <v>26.5</v>
      </c>
      <c r="AY11" s="451">
        <v>1060</v>
      </c>
      <c r="AZ11" s="450">
        <v>11.540555253130105</v>
      </c>
      <c r="BA11" s="509">
        <v>26.5</v>
      </c>
      <c r="BB11" s="451">
        <v>977</v>
      </c>
      <c r="BC11" s="450">
        <v>10.755173932188464</v>
      </c>
      <c r="BD11" s="452">
        <v>22.6</v>
      </c>
      <c r="BE11" s="490">
        <v>914</v>
      </c>
      <c r="BF11" s="450">
        <v>9.8982022958631148</v>
      </c>
      <c r="BG11" s="452">
        <v>20</v>
      </c>
      <c r="BH11" s="490">
        <v>823</v>
      </c>
      <c r="BI11" s="450">
        <v>8.8513658851365893</v>
      </c>
      <c r="BJ11" s="452">
        <v>18</v>
      </c>
      <c r="BK11" s="490">
        <v>776</v>
      </c>
      <c r="BL11" s="450">
        <v>8.4901531728665205</v>
      </c>
      <c r="BM11" s="452">
        <v>16</v>
      </c>
      <c r="BN11" s="490">
        <v>671</v>
      </c>
      <c r="BO11" s="450">
        <v>7.5350926445816953</v>
      </c>
      <c r="BP11" s="452">
        <v>15</v>
      </c>
      <c r="BQ11" s="490">
        <v>628</v>
      </c>
      <c r="BR11" s="450">
        <v>6.735306735306736</v>
      </c>
      <c r="BS11" s="452">
        <v>14</v>
      </c>
      <c r="BT11" s="490">
        <v>591</v>
      </c>
      <c r="BU11" s="450">
        <v>6.3719676549865225</v>
      </c>
      <c r="BV11" s="452">
        <v>12</v>
      </c>
      <c r="BW11" s="490">
        <v>501</v>
      </c>
      <c r="BX11" s="450">
        <v>5.2753501105612299</v>
      </c>
      <c r="BY11" s="452">
        <v>12</v>
      </c>
      <c r="BZ11" s="490">
        <v>448</v>
      </c>
      <c r="CA11" s="450">
        <v>4.5147636803386071</v>
      </c>
      <c r="CB11" s="452">
        <v>12</v>
      </c>
      <c r="CC11" s="490">
        <v>367</v>
      </c>
      <c r="CD11" s="450">
        <v>3.2724030316540351</v>
      </c>
      <c r="CE11" s="452">
        <v>9</v>
      </c>
      <c r="CF11" s="490">
        <v>342</v>
      </c>
      <c r="CG11" s="450">
        <v>3.0204009538108272</v>
      </c>
      <c r="CH11" s="452">
        <v>8</v>
      </c>
      <c r="CI11" s="490">
        <v>336</v>
      </c>
      <c r="CJ11" s="450">
        <v>2.9627017017899657</v>
      </c>
      <c r="CK11" s="452">
        <v>8</v>
      </c>
      <c r="CL11" s="490">
        <v>304</v>
      </c>
      <c r="CM11" s="450">
        <v>2.6624627780697145</v>
      </c>
      <c r="CN11" s="452">
        <v>8</v>
      </c>
      <c r="CO11" s="490">
        <v>310</v>
      </c>
      <c r="CP11" s="450">
        <v>2.810007251631617</v>
      </c>
      <c r="CQ11" s="452">
        <v>7</v>
      </c>
      <c r="CR11" s="490">
        <v>282</v>
      </c>
      <c r="CS11" s="450">
        <v>2.5333285421682414</v>
      </c>
      <c r="CT11" s="452">
        <v>7</v>
      </c>
      <c r="CU11" s="490">
        <v>284</v>
      </c>
      <c r="CV11" s="450">
        <v>2.5092772574659832</v>
      </c>
      <c r="CW11" s="452">
        <v>6</v>
      </c>
      <c r="CX11" s="490">
        <v>245</v>
      </c>
      <c r="CY11" s="450">
        <v>2.1601128548756834</v>
      </c>
      <c r="CZ11" s="452">
        <v>6</v>
      </c>
      <c r="DA11" s="490">
        <v>245</v>
      </c>
      <c r="DB11" s="450">
        <v>2.2514243705201253</v>
      </c>
      <c r="DC11" s="452">
        <v>6</v>
      </c>
      <c r="DD11" s="490">
        <v>229</v>
      </c>
      <c r="DE11" s="450">
        <v>1.9697230345776708</v>
      </c>
      <c r="DF11" s="452">
        <v>6</v>
      </c>
      <c r="DG11" s="490">
        <v>231</v>
      </c>
      <c r="DH11" s="450">
        <v>2.0904977375565612</v>
      </c>
      <c r="DI11" s="452">
        <v>5</v>
      </c>
      <c r="DJ11" s="490">
        <v>207</v>
      </c>
      <c r="DK11" s="450">
        <v>1.8378762319097932</v>
      </c>
      <c r="DL11" s="452">
        <v>5</v>
      </c>
      <c r="DM11" s="490">
        <v>212</v>
      </c>
      <c r="DN11" s="450">
        <v>1.9596968016269181</v>
      </c>
      <c r="DO11" s="452">
        <v>4</v>
      </c>
      <c r="DP11" s="490">
        <v>180</v>
      </c>
      <c r="DQ11" s="450">
        <v>1.509813789632612</v>
      </c>
      <c r="DR11" s="452">
        <v>4</v>
      </c>
      <c r="DS11" s="490">
        <v>178</v>
      </c>
      <c r="DT11" s="450">
        <v>1.4671941971645235</v>
      </c>
      <c r="DU11" s="452">
        <v>4</v>
      </c>
      <c r="DV11" s="490">
        <v>154</v>
      </c>
      <c r="DW11" s="450">
        <v>1.2654067378800329</v>
      </c>
      <c r="DX11" s="452">
        <v>4</v>
      </c>
      <c r="DY11" s="490">
        <v>149</v>
      </c>
      <c r="DZ11" s="450">
        <v>1.2647483235718529</v>
      </c>
      <c r="EA11" s="452">
        <v>3</v>
      </c>
      <c r="EB11" s="490">
        <v>127</v>
      </c>
      <c r="EC11" s="450">
        <v>1.051585658690072</v>
      </c>
      <c r="ED11" s="452">
        <v>3</v>
      </c>
      <c r="EE11" s="490">
        <v>125</v>
      </c>
      <c r="EF11" s="450">
        <v>1.0549413452612035</v>
      </c>
      <c r="EG11" s="452">
        <v>3</v>
      </c>
      <c r="EH11" s="490">
        <v>107</v>
      </c>
      <c r="EI11" s="450">
        <v>0.6687082057371414</v>
      </c>
      <c r="EJ11" s="452">
        <v>2.5</v>
      </c>
      <c r="EK11" s="490">
        <v>107.5</v>
      </c>
      <c r="EL11" s="450">
        <v>0.56329614705435427</v>
      </c>
      <c r="EM11" s="511">
        <v>0.4</v>
      </c>
      <c r="EN11" s="490">
        <v>12</v>
      </c>
      <c r="EO11" s="450">
        <v>5.8416901956966215E-2</v>
      </c>
      <c r="EP11" s="511">
        <v>0.4</v>
      </c>
      <c r="EQ11" s="490">
        <v>12</v>
      </c>
      <c r="ER11" s="450">
        <v>5.6866647711117428E-2</v>
      </c>
      <c r="ES11" s="511">
        <v>0.4</v>
      </c>
      <c r="ET11" s="490">
        <v>13</v>
      </c>
      <c r="EU11" s="450">
        <v>5.9168904464976559E-2</v>
      </c>
      <c r="EV11" s="511">
        <v>0.1</v>
      </c>
      <c r="EW11" s="490">
        <v>6</v>
      </c>
      <c r="EX11" s="450">
        <v>2.6146069374237406E-2</v>
      </c>
      <c r="EY11" s="511">
        <v>0</v>
      </c>
      <c r="EZ11" s="490">
        <v>0</v>
      </c>
      <c r="FA11" s="450">
        <v>0</v>
      </c>
      <c r="FB11" s="511">
        <v>0</v>
      </c>
      <c r="FC11" s="490">
        <v>0</v>
      </c>
      <c r="FD11" s="450">
        <v>0</v>
      </c>
      <c r="FE11" s="511">
        <v>0</v>
      </c>
      <c r="FF11" s="490">
        <v>0</v>
      </c>
      <c r="FG11" s="450">
        <v>0</v>
      </c>
      <c r="FH11" s="511">
        <v>0</v>
      </c>
      <c r="FI11" s="490">
        <v>0</v>
      </c>
      <c r="FJ11" s="450">
        <v>0</v>
      </c>
      <c r="FK11" s="511">
        <v>0</v>
      </c>
      <c r="FL11" s="490">
        <v>0</v>
      </c>
      <c r="FM11" s="450">
        <v>0</v>
      </c>
      <c r="FN11" s="511">
        <v>0</v>
      </c>
      <c r="FO11" s="490">
        <v>0</v>
      </c>
      <c r="FP11" s="450">
        <v>0</v>
      </c>
      <c r="FQ11" s="511">
        <v>0</v>
      </c>
      <c r="FR11" s="490">
        <v>0</v>
      </c>
      <c r="FS11" s="450">
        <v>0</v>
      </c>
      <c r="FT11" s="511">
        <v>0</v>
      </c>
      <c r="FU11" s="490">
        <v>0</v>
      </c>
      <c r="FV11" s="450">
        <v>0</v>
      </c>
      <c r="FW11" s="511">
        <v>0</v>
      </c>
      <c r="FX11" s="490">
        <v>0</v>
      </c>
      <c r="FY11" s="450">
        <v>0</v>
      </c>
      <c r="FZ11" s="511">
        <v>0</v>
      </c>
      <c r="GA11" s="490">
        <v>0</v>
      </c>
      <c r="GB11" s="450">
        <v>0</v>
      </c>
      <c r="GC11" s="511">
        <v>0</v>
      </c>
      <c r="GD11" s="490">
        <v>0</v>
      </c>
      <c r="GE11" s="450">
        <v>0</v>
      </c>
      <c r="GF11" s="511">
        <v>0</v>
      </c>
      <c r="GG11" s="490">
        <v>0</v>
      </c>
      <c r="GH11" s="450">
        <v>0</v>
      </c>
      <c r="GI11" s="455">
        <v>0</v>
      </c>
      <c r="GJ11" s="510">
        <v>0</v>
      </c>
      <c r="GK11" s="453">
        <v>0</v>
      </c>
      <c r="GL11" s="455">
        <v>0</v>
      </c>
      <c r="GM11" s="510">
        <v>0</v>
      </c>
      <c r="GN11" s="453">
        <v>0</v>
      </c>
      <c r="GO11" s="455">
        <v>0</v>
      </c>
      <c r="GP11" s="454">
        <v>0</v>
      </c>
      <c r="GQ11" s="453">
        <v>0</v>
      </c>
      <c r="GR11" s="455">
        <v>0</v>
      </c>
      <c r="GS11" s="454">
        <v>0</v>
      </c>
      <c r="GT11" s="453">
        <v>0</v>
      </c>
      <c r="GU11" s="455">
        <v>0</v>
      </c>
      <c r="GV11" s="454">
        <v>0</v>
      </c>
      <c r="GW11" s="453">
        <v>0</v>
      </c>
      <c r="GX11" s="455">
        <v>0</v>
      </c>
      <c r="GY11" s="454">
        <v>0</v>
      </c>
      <c r="GZ11" s="453">
        <v>0</v>
      </c>
      <c r="HA11" s="455">
        <v>0</v>
      </c>
      <c r="HB11" s="454">
        <v>0</v>
      </c>
      <c r="HC11" s="453">
        <v>0</v>
      </c>
      <c r="HD11" s="455">
        <v>0</v>
      </c>
      <c r="HE11" s="454">
        <v>0</v>
      </c>
      <c r="HF11" s="453">
        <v>0</v>
      </c>
    </row>
    <row r="12" spans="1:214" s="449" customFormat="1" ht="17.399999999999999" hidden="1" customHeight="1" x14ac:dyDescent="0.3">
      <c r="A12" s="461" t="s">
        <v>488</v>
      </c>
      <c r="B12" s="460">
        <v>0</v>
      </c>
      <c r="C12" s="459">
        <v>0</v>
      </c>
      <c r="D12" s="458">
        <v>0</v>
      </c>
      <c r="E12" s="460">
        <v>0</v>
      </c>
      <c r="F12" s="459">
        <v>0</v>
      </c>
      <c r="G12" s="458">
        <v>0</v>
      </c>
      <c r="H12" s="460">
        <v>0</v>
      </c>
      <c r="I12" s="459">
        <v>0</v>
      </c>
      <c r="J12" s="458">
        <v>0</v>
      </c>
      <c r="K12" s="460">
        <v>0</v>
      </c>
      <c r="L12" s="459">
        <v>0</v>
      </c>
      <c r="M12" s="458">
        <v>0</v>
      </c>
      <c r="N12" s="460">
        <v>0</v>
      </c>
      <c r="O12" s="459">
        <v>0</v>
      </c>
      <c r="P12" s="458">
        <v>0</v>
      </c>
      <c r="Q12" s="457">
        <v>0</v>
      </c>
      <c r="R12" s="456">
        <v>0</v>
      </c>
      <c r="S12" s="432">
        <v>0</v>
      </c>
      <c r="T12" s="457">
        <v>0</v>
      </c>
      <c r="U12" s="456">
        <v>0</v>
      </c>
      <c r="V12" s="432">
        <v>0</v>
      </c>
      <c r="W12" s="457">
        <v>0</v>
      </c>
      <c r="X12" s="456">
        <v>0</v>
      </c>
      <c r="Y12" s="432">
        <v>0</v>
      </c>
      <c r="Z12" s="457">
        <v>0</v>
      </c>
      <c r="AA12" s="456">
        <v>0</v>
      </c>
      <c r="AB12" s="432">
        <v>0</v>
      </c>
      <c r="AC12" s="457">
        <v>0</v>
      </c>
      <c r="AD12" s="456">
        <v>0</v>
      </c>
      <c r="AE12" s="432">
        <v>0</v>
      </c>
      <c r="AF12" s="457">
        <v>0</v>
      </c>
      <c r="AG12" s="456">
        <v>0</v>
      </c>
      <c r="AH12" s="432">
        <v>0</v>
      </c>
      <c r="AI12" s="457">
        <v>0</v>
      </c>
      <c r="AJ12" s="456">
        <v>0</v>
      </c>
      <c r="AK12" s="432">
        <v>0</v>
      </c>
      <c r="AL12" s="507">
        <v>0</v>
      </c>
      <c r="AM12" s="506">
        <v>0</v>
      </c>
      <c r="AN12" s="432">
        <v>0</v>
      </c>
      <c r="AO12" s="505">
        <v>0</v>
      </c>
      <c r="AP12" s="462">
        <v>0</v>
      </c>
      <c r="AQ12" s="432">
        <v>0</v>
      </c>
      <c r="AR12" s="457">
        <v>0</v>
      </c>
      <c r="AS12" s="456">
        <v>0</v>
      </c>
      <c r="AT12" s="432">
        <v>0</v>
      </c>
      <c r="AU12" s="509">
        <v>0</v>
      </c>
      <c r="AV12" s="451">
        <v>0</v>
      </c>
      <c r="AW12" s="450">
        <v>0</v>
      </c>
      <c r="AX12" s="509">
        <v>0</v>
      </c>
      <c r="AY12" s="451">
        <v>0</v>
      </c>
      <c r="AZ12" s="450">
        <v>0</v>
      </c>
      <c r="BA12" s="509">
        <v>0</v>
      </c>
      <c r="BB12" s="451">
        <v>0</v>
      </c>
      <c r="BC12" s="450">
        <v>0</v>
      </c>
      <c r="BD12" s="452">
        <v>0</v>
      </c>
      <c r="BE12" s="451">
        <v>0</v>
      </c>
      <c r="BF12" s="450">
        <v>0</v>
      </c>
      <c r="BG12" s="452">
        <v>0</v>
      </c>
      <c r="BH12" s="451">
        <v>0</v>
      </c>
      <c r="BI12" s="450">
        <v>0</v>
      </c>
      <c r="BJ12" s="452">
        <v>0</v>
      </c>
      <c r="BK12" s="451">
        <v>0</v>
      </c>
      <c r="BL12" s="450">
        <v>0</v>
      </c>
      <c r="BM12" s="452">
        <v>0</v>
      </c>
      <c r="BN12" s="451">
        <v>0</v>
      </c>
      <c r="BO12" s="450">
        <v>0</v>
      </c>
      <c r="BP12" s="452">
        <v>0</v>
      </c>
      <c r="BQ12" s="451">
        <v>0</v>
      </c>
      <c r="BR12" s="450">
        <v>0</v>
      </c>
      <c r="BS12" s="452">
        <v>0</v>
      </c>
      <c r="BT12" s="451">
        <v>0</v>
      </c>
      <c r="BU12" s="450">
        <v>0</v>
      </c>
      <c r="BV12" s="452">
        <v>0</v>
      </c>
      <c r="BW12" s="451">
        <v>0</v>
      </c>
      <c r="BX12" s="450">
        <v>0</v>
      </c>
      <c r="BY12" s="452">
        <v>0</v>
      </c>
      <c r="BZ12" s="490">
        <v>0</v>
      </c>
      <c r="CA12" s="450">
        <v>0</v>
      </c>
      <c r="CB12" s="452">
        <v>0</v>
      </c>
      <c r="CC12" s="490">
        <v>0</v>
      </c>
      <c r="CD12" s="450">
        <v>0</v>
      </c>
      <c r="CE12" s="452">
        <v>0</v>
      </c>
      <c r="CF12" s="490">
        <v>0</v>
      </c>
      <c r="CG12" s="450">
        <v>0</v>
      </c>
      <c r="CH12" s="452">
        <v>0</v>
      </c>
      <c r="CI12" s="490">
        <v>0</v>
      </c>
      <c r="CJ12" s="450">
        <v>0</v>
      </c>
      <c r="CK12" s="452">
        <v>0</v>
      </c>
      <c r="CL12" s="490">
        <v>0</v>
      </c>
      <c r="CM12" s="450">
        <v>0</v>
      </c>
      <c r="CN12" s="452">
        <v>0</v>
      </c>
      <c r="CO12" s="490">
        <v>0</v>
      </c>
      <c r="CP12" s="450">
        <v>0</v>
      </c>
      <c r="CQ12" s="452">
        <v>0</v>
      </c>
      <c r="CR12" s="490">
        <v>0</v>
      </c>
      <c r="CS12" s="450">
        <v>0</v>
      </c>
      <c r="CT12" s="452">
        <v>0</v>
      </c>
      <c r="CU12" s="490">
        <v>0</v>
      </c>
      <c r="CV12" s="450">
        <v>0</v>
      </c>
      <c r="CW12" s="452">
        <v>0</v>
      </c>
      <c r="CX12" s="490">
        <v>0</v>
      </c>
      <c r="CY12" s="450">
        <v>0</v>
      </c>
      <c r="CZ12" s="452">
        <v>0</v>
      </c>
      <c r="DA12" s="490">
        <v>0</v>
      </c>
      <c r="DB12" s="450">
        <v>0</v>
      </c>
      <c r="DC12" s="452">
        <v>0</v>
      </c>
      <c r="DD12" s="490">
        <v>0</v>
      </c>
      <c r="DE12" s="450">
        <v>0</v>
      </c>
      <c r="DF12" s="452">
        <v>0</v>
      </c>
      <c r="DG12" s="490">
        <v>0</v>
      </c>
      <c r="DH12" s="450">
        <v>0</v>
      </c>
      <c r="DI12" s="452">
        <v>0</v>
      </c>
      <c r="DJ12" s="490">
        <v>0</v>
      </c>
      <c r="DK12" s="450">
        <v>0</v>
      </c>
      <c r="DL12" s="452">
        <v>0</v>
      </c>
      <c r="DM12" s="490">
        <v>0</v>
      </c>
      <c r="DN12" s="450">
        <v>0</v>
      </c>
      <c r="DO12" s="452">
        <v>0</v>
      </c>
      <c r="DP12" s="490">
        <v>0</v>
      </c>
      <c r="DQ12" s="450">
        <v>0</v>
      </c>
      <c r="DR12" s="452">
        <v>0</v>
      </c>
      <c r="DS12" s="490">
        <v>0</v>
      </c>
      <c r="DT12" s="450">
        <v>0</v>
      </c>
      <c r="DU12" s="452">
        <v>0</v>
      </c>
      <c r="DV12" s="490">
        <v>0</v>
      </c>
      <c r="DW12" s="450">
        <v>0</v>
      </c>
      <c r="DX12" s="452">
        <v>0</v>
      </c>
      <c r="DY12" s="490">
        <v>0</v>
      </c>
      <c r="DZ12" s="450">
        <v>0</v>
      </c>
      <c r="EA12" s="452">
        <v>0</v>
      </c>
      <c r="EB12" s="490">
        <v>0</v>
      </c>
      <c r="EC12" s="450">
        <v>0</v>
      </c>
      <c r="ED12" s="452">
        <v>0</v>
      </c>
      <c r="EE12" s="490">
        <v>0</v>
      </c>
      <c r="EF12" s="450">
        <v>0</v>
      </c>
      <c r="EG12" s="452">
        <v>0</v>
      </c>
      <c r="EH12" s="490">
        <v>0</v>
      </c>
      <c r="EI12" s="450">
        <v>0</v>
      </c>
      <c r="EJ12" s="452">
        <v>0</v>
      </c>
      <c r="EK12" s="490">
        <v>0</v>
      </c>
      <c r="EL12" s="450">
        <v>0</v>
      </c>
      <c r="EM12" s="452">
        <v>0</v>
      </c>
      <c r="EN12" s="490">
        <v>0</v>
      </c>
      <c r="EO12" s="450">
        <v>0</v>
      </c>
      <c r="EP12" s="452">
        <v>0</v>
      </c>
      <c r="EQ12" s="490">
        <v>0</v>
      </c>
      <c r="ER12" s="450">
        <v>0</v>
      </c>
      <c r="ES12" s="452">
        <v>0</v>
      </c>
      <c r="ET12" s="490">
        <v>0</v>
      </c>
      <c r="EU12" s="450">
        <v>0</v>
      </c>
      <c r="EV12" s="452">
        <v>0</v>
      </c>
      <c r="EW12" s="490">
        <v>0</v>
      </c>
      <c r="EX12" s="450">
        <v>0</v>
      </c>
      <c r="EY12" s="452">
        <v>0</v>
      </c>
      <c r="EZ12" s="490">
        <v>0</v>
      </c>
      <c r="FA12" s="450">
        <v>0</v>
      </c>
      <c r="FB12" s="452">
        <v>0</v>
      </c>
      <c r="FC12" s="490">
        <v>0</v>
      </c>
      <c r="FD12" s="450">
        <v>0</v>
      </c>
      <c r="FE12" s="452">
        <v>0</v>
      </c>
      <c r="FF12" s="490">
        <v>0</v>
      </c>
      <c r="FG12" s="450">
        <v>0</v>
      </c>
      <c r="FH12" s="452">
        <v>0</v>
      </c>
      <c r="FI12" s="490">
        <v>0</v>
      </c>
      <c r="FJ12" s="450">
        <v>0</v>
      </c>
      <c r="FK12" s="452">
        <v>0</v>
      </c>
      <c r="FL12" s="490">
        <v>0</v>
      </c>
      <c r="FM12" s="450">
        <v>0</v>
      </c>
      <c r="FN12" s="452">
        <v>0</v>
      </c>
      <c r="FO12" s="490">
        <v>0</v>
      </c>
      <c r="FP12" s="450">
        <v>0</v>
      </c>
      <c r="FQ12" s="452">
        <v>0</v>
      </c>
      <c r="FR12" s="490">
        <v>0</v>
      </c>
      <c r="FS12" s="450">
        <v>0</v>
      </c>
      <c r="FT12" s="452">
        <v>0</v>
      </c>
      <c r="FU12" s="490">
        <v>0</v>
      </c>
      <c r="FV12" s="450">
        <v>0</v>
      </c>
      <c r="FW12" s="452">
        <v>0</v>
      </c>
      <c r="FX12" s="490">
        <v>0</v>
      </c>
      <c r="FY12" s="450">
        <v>0</v>
      </c>
      <c r="FZ12" s="452">
        <v>0</v>
      </c>
      <c r="GA12" s="490">
        <v>0</v>
      </c>
      <c r="GB12" s="450">
        <v>0</v>
      </c>
      <c r="GC12" s="452">
        <v>0</v>
      </c>
      <c r="GD12" s="490">
        <v>0</v>
      </c>
      <c r="GE12" s="450">
        <v>0</v>
      </c>
      <c r="GF12" s="452">
        <v>0</v>
      </c>
      <c r="GG12" s="490">
        <v>0</v>
      </c>
      <c r="GH12" s="450">
        <v>0</v>
      </c>
      <c r="GI12" s="452">
        <v>0</v>
      </c>
      <c r="GJ12" s="490">
        <v>0</v>
      </c>
      <c r="GK12" s="450">
        <v>0</v>
      </c>
      <c r="GL12" s="452">
        <v>0</v>
      </c>
      <c r="GM12" s="490">
        <v>0</v>
      </c>
      <c r="GN12" s="450">
        <v>0</v>
      </c>
      <c r="GO12" s="452">
        <v>0</v>
      </c>
      <c r="GP12" s="451">
        <v>0</v>
      </c>
      <c r="GQ12" s="450">
        <v>0</v>
      </c>
      <c r="GR12" s="452">
        <v>0</v>
      </c>
      <c r="GS12" s="451">
        <v>0</v>
      </c>
      <c r="GT12" s="450">
        <v>0</v>
      </c>
      <c r="GU12" s="452">
        <v>0</v>
      </c>
      <c r="GV12" s="451">
        <v>0</v>
      </c>
      <c r="GW12" s="450">
        <v>0</v>
      </c>
      <c r="GX12" s="452">
        <v>0</v>
      </c>
      <c r="GY12" s="451">
        <v>0</v>
      </c>
      <c r="GZ12" s="450">
        <v>0</v>
      </c>
      <c r="HA12" s="452">
        <v>0</v>
      </c>
      <c r="HB12" s="451">
        <v>0</v>
      </c>
      <c r="HC12" s="450">
        <v>0</v>
      </c>
      <c r="HD12" s="452">
        <v>0</v>
      </c>
      <c r="HE12" s="451">
        <v>0</v>
      </c>
      <c r="HF12" s="450">
        <v>0</v>
      </c>
    </row>
    <row r="13" spans="1:214" s="449" customFormat="1" ht="17.399999999999999" hidden="1" customHeight="1" x14ac:dyDescent="0.3">
      <c r="A13" s="461" t="s">
        <v>482</v>
      </c>
      <c r="B13" s="460">
        <v>111250</v>
      </c>
      <c r="C13" s="459">
        <v>447036</v>
      </c>
      <c r="D13" s="458">
        <v>7.9529762550725049</v>
      </c>
      <c r="E13" s="460">
        <v>100000</v>
      </c>
      <c r="F13" s="459">
        <v>473000</v>
      </c>
      <c r="G13" s="458">
        <v>8.0561553199494416</v>
      </c>
      <c r="H13" s="460">
        <v>100000</v>
      </c>
      <c r="I13" s="459">
        <v>473000</v>
      </c>
      <c r="J13" s="458">
        <v>8.2446927187336154</v>
      </c>
      <c r="K13" s="460">
        <v>100000</v>
      </c>
      <c r="L13" s="459">
        <v>473000</v>
      </c>
      <c r="M13" s="458">
        <v>8.6757153338224509</v>
      </c>
      <c r="N13" s="460">
        <v>89000</v>
      </c>
      <c r="O13" s="459">
        <v>422000</v>
      </c>
      <c r="P13" s="458">
        <v>7.9412871659766653</v>
      </c>
      <c r="Q13" s="457">
        <v>78</v>
      </c>
      <c r="R13" s="456">
        <v>369</v>
      </c>
      <c r="S13" s="432">
        <v>6.9833459500378501</v>
      </c>
      <c r="T13" s="457">
        <v>78</v>
      </c>
      <c r="U13" s="456">
        <v>369</v>
      </c>
      <c r="V13" s="432">
        <v>7.2225484439224896</v>
      </c>
      <c r="W13" s="457">
        <v>71</v>
      </c>
      <c r="X13" s="456">
        <v>339</v>
      </c>
      <c r="Y13" s="432">
        <v>5.4659787165430505</v>
      </c>
      <c r="Z13" s="457">
        <v>71</v>
      </c>
      <c r="AA13" s="456">
        <v>329</v>
      </c>
      <c r="AB13" s="432">
        <v>5.3565613806577668</v>
      </c>
      <c r="AC13" s="457">
        <v>56</v>
      </c>
      <c r="AD13" s="456">
        <v>262</v>
      </c>
      <c r="AE13" s="432">
        <v>4.9640015157256538</v>
      </c>
      <c r="AF13" s="457">
        <v>56</v>
      </c>
      <c r="AG13" s="456">
        <v>252</v>
      </c>
      <c r="AH13" s="432">
        <v>5.034965034965035</v>
      </c>
      <c r="AI13" s="457">
        <v>50</v>
      </c>
      <c r="AJ13" s="456">
        <v>225</v>
      </c>
      <c r="AK13" s="432">
        <v>4.7130289065772937</v>
      </c>
      <c r="AL13" s="507">
        <v>45.5</v>
      </c>
      <c r="AM13" s="506">
        <v>204</v>
      </c>
      <c r="AN13" s="432">
        <v>3.5877594090749207</v>
      </c>
      <c r="AO13" s="505">
        <v>37.5</v>
      </c>
      <c r="AP13" s="462">
        <v>177</v>
      </c>
      <c r="AQ13" s="432">
        <v>1.9666666666666666</v>
      </c>
      <c r="AR13" s="457">
        <v>37.5</v>
      </c>
      <c r="AS13" s="456">
        <v>178</v>
      </c>
      <c r="AT13" s="432">
        <v>1.9877163595756562</v>
      </c>
      <c r="AU13" s="509">
        <v>31.2</v>
      </c>
      <c r="AV13" s="451">
        <v>148</v>
      </c>
      <c r="AW13" s="450">
        <v>1.6601233875490746</v>
      </c>
      <c r="AX13" s="509">
        <v>31.2</v>
      </c>
      <c r="AY13" s="451">
        <v>156</v>
      </c>
      <c r="AZ13" s="450">
        <v>1.6984213391399019</v>
      </c>
      <c r="BA13" s="509">
        <v>31.2</v>
      </c>
      <c r="BB13" s="451">
        <v>124</v>
      </c>
      <c r="BC13" s="450">
        <v>1.3650374284456186</v>
      </c>
      <c r="BD13" s="452">
        <v>25</v>
      </c>
      <c r="BE13" s="451">
        <v>127</v>
      </c>
      <c r="BF13" s="450">
        <v>1.3753519601472819</v>
      </c>
      <c r="BG13" s="452">
        <v>19</v>
      </c>
      <c r="BH13" s="451">
        <v>96</v>
      </c>
      <c r="BI13" s="450">
        <v>1.0324801032480104</v>
      </c>
      <c r="BJ13" s="452">
        <v>19</v>
      </c>
      <c r="BK13" s="451">
        <v>96</v>
      </c>
      <c r="BL13" s="450">
        <v>1.0503282275711159</v>
      </c>
      <c r="BM13" s="452">
        <v>12.5</v>
      </c>
      <c r="BN13" s="451">
        <v>64</v>
      </c>
      <c r="BO13" s="450">
        <v>0.71869736103312742</v>
      </c>
      <c r="BP13" s="452">
        <v>13</v>
      </c>
      <c r="BQ13" s="451">
        <v>62</v>
      </c>
      <c r="BR13" s="450">
        <v>0.6649506649506649</v>
      </c>
      <c r="BS13" s="452">
        <v>6</v>
      </c>
      <c r="BT13" s="451">
        <v>31</v>
      </c>
      <c r="BU13" s="450">
        <v>0.33423180592991913</v>
      </c>
      <c r="BV13" s="452">
        <v>6</v>
      </c>
      <c r="BW13" s="451">
        <v>33</v>
      </c>
      <c r="BX13" s="450">
        <v>0.34747815099505108</v>
      </c>
      <c r="BY13" s="452">
        <v>0</v>
      </c>
      <c r="BZ13" s="490">
        <v>0</v>
      </c>
      <c r="CA13" s="450">
        <v>0</v>
      </c>
      <c r="CB13" s="452">
        <v>0</v>
      </c>
      <c r="CC13" s="490">
        <v>0</v>
      </c>
      <c r="CD13" s="450">
        <v>0</v>
      </c>
      <c r="CE13" s="452">
        <v>0</v>
      </c>
      <c r="CF13" s="490">
        <v>0</v>
      </c>
      <c r="CG13" s="450">
        <v>0</v>
      </c>
      <c r="CH13" s="452">
        <v>0</v>
      </c>
      <c r="CI13" s="490">
        <v>0</v>
      </c>
      <c r="CJ13" s="450">
        <v>0</v>
      </c>
      <c r="CK13" s="452">
        <v>0</v>
      </c>
      <c r="CL13" s="490">
        <v>0</v>
      </c>
      <c r="CM13" s="450">
        <v>0</v>
      </c>
      <c r="CN13" s="452">
        <v>0</v>
      </c>
      <c r="CO13" s="490">
        <v>0</v>
      </c>
      <c r="CP13" s="450">
        <v>0</v>
      </c>
      <c r="CQ13" s="452">
        <v>0</v>
      </c>
      <c r="CR13" s="490">
        <v>0</v>
      </c>
      <c r="CS13" s="450">
        <v>0</v>
      </c>
      <c r="CT13" s="452">
        <v>0</v>
      </c>
      <c r="CU13" s="490">
        <v>0</v>
      </c>
      <c r="CV13" s="450">
        <v>0</v>
      </c>
      <c r="CW13" s="452">
        <v>0</v>
      </c>
      <c r="CX13" s="490">
        <v>0</v>
      </c>
      <c r="CY13" s="450">
        <v>0</v>
      </c>
      <c r="CZ13" s="452">
        <v>0</v>
      </c>
      <c r="DA13" s="490">
        <v>0</v>
      </c>
      <c r="DB13" s="450">
        <v>0</v>
      </c>
      <c r="DC13" s="452">
        <v>0</v>
      </c>
      <c r="DD13" s="490">
        <v>0</v>
      </c>
      <c r="DE13" s="450">
        <v>0</v>
      </c>
      <c r="DF13" s="452">
        <v>0</v>
      </c>
      <c r="DG13" s="490">
        <v>0</v>
      </c>
      <c r="DH13" s="450">
        <v>0</v>
      </c>
      <c r="DI13" s="452">
        <v>0</v>
      </c>
      <c r="DJ13" s="490">
        <v>0</v>
      </c>
      <c r="DK13" s="450">
        <v>0</v>
      </c>
      <c r="DL13" s="452">
        <v>0</v>
      </c>
      <c r="DM13" s="490">
        <v>0</v>
      </c>
      <c r="DN13" s="450">
        <v>0</v>
      </c>
      <c r="DO13" s="452">
        <v>0</v>
      </c>
      <c r="DP13" s="490">
        <v>0</v>
      </c>
      <c r="DQ13" s="450">
        <v>0</v>
      </c>
      <c r="DR13" s="452">
        <v>0</v>
      </c>
      <c r="DS13" s="490">
        <v>0</v>
      </c>
      <c r="DT13" s="450">
        <v>0</v>
      </c>
      <c r="DU13" s="452">
        <v>0</v>
      </c>
      <c r="DV13" s="490">
        <v>0</v>
      </c>
      <c r="DW13" s="450">
        <v>0</v>
      </c>
      <c r="DX13" s="452">
        <v>0</v>
      </c>
      <c r="DY13" s="490">
        <v>0</v>
      </c>
      <c r="DZ13" s="450">
        <v>0</v>
      </c>
      <c r="EA13" s="452">
        <v>0</v>
      </c>
      <c r="EB13" s="490">
        <v>0</v>
      </c>
      <c r="EC13" s="450">
        <v>0</v>
      </c>
      <c r="ED13" s="452">
        <v>0</v>
      </c>
      <c r="EE13" s="490">
        <v>0</v>
      </c>
      <c r="EF13" s="450">
        <v>0</v>
      </c>
      <c r="EG13" s="452">
        <v>0</v>
      </c>
      <c r="EH13" s="490">
        <v>0</v>
      </c>
      <c r="EI13" s="450">
        <v>0</v>
      </c>
      <c r="EJ13" s="452">
        <v>0</v>
      </c>
      <c r="EK13" s="490">
        <v>0</v>
      </c>
      <c r="EL13" s="450">
        <v>0</v>
      </c>
      <c r="EM13" s="452">
        <v>0</v>
      </c>
      <c r="EN13" s="490">
        <v>0</v>
      </c>
      <c r="EO13" s="450">
        <v>0</v>
      </c>
      <c r="EP13" s="452">
        <v>0</v>
      </c>
      <c r="EQ13" s="490">
        <v>0</v>
      </c>
      <c r="ER13" s="450">
        <v>0</v>
      </c>
      <c r="ES13" s="452">
        <v>0</v>
      </c>
      <c r="ET13" s="490">
        <v>0</v>
      </c>
      <c r="EU13" s="450">
        <v>0</v>
      </c>
      <c r="EV13" s="452">
        <v>0</v>
      </c>
      <c r="EW13" s="490">
        <v>0</v>
      </c>
      <c r="EX13" s="450">
        <v>0</v>
      </c>
      <c r="EY13" s="452">
        <v>0</v>
      </c>
      <c r="EZ13" s="490">
        <v>0</v>
      </c>
      <c r="FA13" s="450">
        <v>0</v>
      </c>
      <c r="FB13" s="452">
        <v>0</v>
      </c>
      <c r="FC13" s="490">
        <v>0</v>
      </c>
      <c r="FD13" s="450">
        <v>0</v>
      </c>
      <c r="FE13" s="452">
        <v>0</v>
      </c>
      <c r="FF13" s="490">
        <v>0</v>
      </c>
      <c r="FG13" s="450">
        <v>0</v>
      </c>
      <c r="FH13" s="452">
        <v>0</v>
      </c>
      <c r="FI13" s="490">
        <v>0</v>
      </c>
      <c r="FJ13" s="450">
        <v>0</v>
      </c>
      <c r="FK13" s="452">
        <v>0</v>
      </c>
      <c r="FL13" s="490">
        <v>0</v>
      </c>
      <c r="FM13" s="450">
        <v>0</v>
      </c>
      <c r="FN13" s="452">
        <v>0</v>
      </c>
      <c r="FO13" s="490">
        <v>0</v>
      </c>
      <c r="FP13" s="450">
        <v>0</v>
      </c>
      <c r="FQ13" s="452">
        <v>0</v>
      </c>
      <c r="FR13" s="490">
        <v>0</v>
      </c>
      <c r="FS13" s="450">
        <v>0</v>
      </c>
      <c r="FT13" s="452">
        <v>0</v>
      </c>
      <c r="FU13" s="490">
        <v>0</v>
      </c>
      <c r="FV13" s="450">
        <v>0</v>
      </c>
      <c r="FW13" s="452">
        <v>0</v>
      </c>
      <c r="FX13" s="490">
        <v>0</v>
      </c>
      <c r="FY13" s="450">
        <v>0</v>
      </c>
      <c r="FZ13" s="452">
        <v>0</v>
      </c>
      <c r="GA13" s="490">
        <v>0</v>
      </c>
      <c r="GB13" s="450">
        <v>0</v>
      </c>
      <c r="GC13" s="452">
        <v>0</v>
      </c>
      <c r="GD13" s="490">
        <v>0</v>
      </c>
      <c r="GE13" s="450">
        <v>0</v>
      </c>
      <c r="GF13" s="452">
        <v>0</v>
      </c>
      <c r="GG13" s="490">
        <v>0</v>
      </c>
      <c r="GH13" s="450">
        <v>0</v>
      </c>
      <c r="GI13" s="452">
        <v>0</v>
      </c>
      <c r="GJ13" s="490">
        <v>0</v>
      </c>
      <c r="GK13" s="450">
        <v>0</v>
      </c>
      <c r="GL13" s="452">
        <v>0</v>
      </c>
      <c r="GM13" s="490">
        <v>0</v>
      </c>
      <c r="GN13" s="450">
        <v>0</v>
      </c>
      <c r="GO13" s="452">
        <v>0</v>
      </c>
      <c r="GP13" s="451">
        <v>0</v>
      </c>
      <c r="GQ13" s="450">
        <v>0</v>
      </c>
      <c r="GR13" s="452">
        <v>0</v>
      </c>
      <c r="GS13" s="451">
        <v>0</v>
      </c>
      <c r="GT13" s="450">
        <v>0</v>
      </c>
      <c r="GU13" s="452">
        <v>0</v>
      </c>
      <c r="GV13" s="451">
        <v>0</v>
      </c>
      <c r="GW13" s="450">
        <v>0</v>
      </c>
      <c r="GX13" s="452">
        <v>0</v>
      </c>
      <c r="GY13" s="451">
        <v>0</v>
      </c>
      <c r="GZ13" s="450">
        <v>0</v>
      </c>
      <c r="HA13" s="452">
        <v>0</v>
      </c>
      <c r="HB13" s="451">
        <v>0</v>
      </c>
      <c r="HC13" s="450">
        <v>0</v>
      </c>
      <c r="HD13" s="452">
        <v>0</v>
      </c>
      <c r="HE13" s="451">
        <v>0</v>
      </c>
      <c r="HF13" s="450">
        <v>0</v>
      </c>
    </row>
    <row r="14" spans="1:214" s="449" customFormat="1" ht="17.399999999999999" hidden="1" customHeight="1" x14ac:dyDescent="0.3">
      <c r="A14" s="461" t="s">
        <v>489</v>
      </c>
      <c r="B14" s="460">
        <v>685</v>
      </c>
      <c r="C14" s="459">
        <v>35738</v>
      </c>
      <c r="D14" s="458">
        <v>0.63579547375106527</v>
      </c>
      <c r="E14" s="460">
        <v>685</v>
      </c>
      <c r="F14" s="459">
        <v>32169</v>
      </c>
      <c r="G14" s="458">
        <v>0.54790372196078985</v>
      </c>
      <c r="H14" s="460">
        <v>685</v>
      </c>
      <c r="I14" s="459">
        <v>33559</v>
      </c>
      <c r="J14" s="458">
        <v>0.58495484767015093</v>
      </c>
      <c r="K14" s="460">
        <v>1000</v>
      </c>
      <c r="L14" s="459">
        <v>32000</v>
      </c>
      <c r="M14" s="458">
        <v>0.58694057226705798</v>
      </c>
      <c r="N14" s="460">
        <v>1000</v>
      </c>
      <c r="O14" s="459">
        <v>35000</v>
      </c>
      <c r="P14" s="458">
        <v>0.65863756115920213</v>
      </c>
      <c r="Q14" s="457">
        <v>1</v>
      </c>
      <c r="R14" s="456">
        <v>34</v>
      </c>
      <c r="S14" s="432">
        <v>0.64345193035579107</v>
      </c>
      <c r="T14" s="457">
        <v>1</v>
      </c>
      <c r="U14" s="456">
        <v>33</v>
      </c>
      <c r="V14" s="432">
        <v>0.64591896652965353</v>
      </c>
      <c r="W14" s="457">
        <v>1</v>
      </c>
      <c r="X14" s="456">
        <v>34</v>
      </c>
      <c r="Y14" s="432">
        <v>0.54821025475653018</v>
      </c>
      <c r="Z14" s="457">
        <v>1</v>
      </c>
      <c r="AA14" s="456">
        <v>34</v>
      </c>
      <c r="AB14" s="432">
        <v>0.55356561380657765</v>
      </c>
      <c r="AC14" s="457">
        <v>1</v>
      </c>
      <c r="AD14" s="456">
        <v>33</v>
      </c>
      <c r="AE14" s="432">
        <v>0.62523683213338388</v>
      </c>
      <c r="AF14" s="457">
        <v>1</v>
      </c>
      <c r="AG14" s="456">
        <v>32</v>
      </c>
      <c r="AH14" s="432">
        <v>0.63936063936063936</v>
      </c>
      <c r="AI14" s="457">
        <v>3</v>
      </c>
      <c r="AJ14" s="456">
        <v>92</v>
      </c>
      <c r="AK14" s="432">
        <v>1.9271051529116048</v>
      </c>
      <c r="AL14" s="507">
        <v>1.8</v>
      </c>
      <c r="AM14" s="506">
        <v>88</v>
      </c>
      <c r="AN14" s="432">
        <v>1.5476609215617305</v>
      </c>
      <c r="AO14" s="505">
        <v>0.4</v>
      </c>
      <c r="AP14" s="462">
        <v>17</v>
      </c>
      <c r="AQ14" s="432">
        <v>0.18888888888888888</v>
      </c>
      <c r="AR14" s="457">
        <v>0.4</v>
      </c>
      <c r="AS14" s="456">
        <v>17</v>
      </c>
      <c r="AT14" s="432">
        <v>0.18983807928531549</v>
      </c>
      <c r="AU14" s="509">
        <v>0.4</v>
      </c>
      <c r="AV14" s="451">
        <v>17</v>
      </c>
      <c r="AW14" s="450">
        <v>0.19068984856982613</v>
      </c>
      <c r="AX14" s="509">
        <v>0.3</v>
      </c>
      <c r="AY14" s="451">
        <v>14</v>
      </c>
      <c r="AZ14" s="450">
        <v>0.15242242787152968</v>
      </c>
      <c r="BA14" s="509">
        <v>0.3</v>
      </c>
      <c r="BB14" s="451">
        <v>14</v>
      </c>
      <c r="BC14" s="450">
        <v>0.15411712901805372</v>
      </c>
      <c r="BD14" s="452">
        <v>0.3</v>
      </c>
      <c r="BE14" s="451">
        <v>14</v>
      </c>
      <c r="BF14" s="450">
        <v>0.15161360190599957</v>
      </c>
      <c r="BG14" s="452">
        <v>0.3</v>
      </c>
      <c r="BH14" s="451">
        <v>14</v>
      </c>
      <c r="BI14" s="450">
        <v>0.15057001505700149</v>
      </c>
      <c r="BJ14" s="452">
        <v>0.3</v>
      </c>
      <c r="BK14" s="451">
        <v>10</v>
      </c>
      <c r="BL14" s="450">
        <v>0.10940919037199125</v>
      </c>
      <c r="BM14" s="452">
        <v>0.2</v>
      </c>
      <c r="BN14" s="451">
        <v>10</v>
      </c>
      <c r="BO14" s="450">
        <v>0.11229646266142618</v>
      </c>
      <c r="BP14" s="452">
        <v>0</v>
      </c>
      <c r="BQ14" s="451">
        <v>0</v>
      </c>
      <c r="BR14" s="450">
        <v>0</v>
      </c>
      <c r="BS14" s="452">
        <v>0</v>
      </c>
      <c r="BT14" s="451">
        <v>0</v>
      </c>
      <c r="BU14" s="450">
        <v>0</v>
      </c>
      <c r="BV14" s="452">
        <v>0</v>
      </c>
      <c r="BW14" s="451">
        <v>0</v>
      </c>
      <c r="BX14" s="450">
        <v>0</v>
      </c>
      <c r="BY14" s="452">
        <v>0</v>
      </c>
      <c r="BZ14" s="490">
        <v>0</v>
      </c>
      <c r="CA14" s="450">
        <v>0</v>
      </c>
      <c r="CB14" s="452">
        <v>0</v>
      </c>
      <c r="CC14" s="490">
        <v>0</v>
      </c>
      <c r="CD14" s="450">
        <v>0</v>
      </c>
      <c r="CE14" s="452">
        <v>0</v>
      </c>
      <c r="CF14" s="490">
        <v>0</v>
      </c>
      <c r="CG14" s="450">
        <v>0</v>
      </c>
      <c r="CH14" s="452">
        <v>0</v>
      </c>
      <c r="CI14" s="490">
        <v>0</v>
      </c>
      <c r="CJ14" s="450">
        <v>0</v>
      </c>
      <c r="CK14" s="452">
        <v>0</v>
      </c>
      <c r="CL14" s="490">
        <v>0</v>
      </c>
      <c r="CM14" s="450">
        <v>0</v>
      </c>
      <c r="CN14" s="452">
        <v>0</v>
      </c>
      <c r="CO14" s="490">
        <v>0</v>
      </c>
      <c r="CP14" s="450">
        <v>0</v>
      </c>
      <c r="CQ14" s="452">
        <v>0</v>
      </c>
      <c r="CR14" s="490">
        <v>0</v>
      </c>
      <c r="CS14" s="450">
        <v>0</v>
      </c>
      <c r="CT14" s="452">
        <v>0</v>
      </c>
      <c r="CU14" s="490">
        <v>0</v>
      </c>
      <c r="CV14" s="450">
        <v>0</v>
      </c>
      <c r="CW14" s="452">
        <v>0</v>
      </c>
      <c r="CX14" s="490">
        <v>0</v>
      </c>
      <c r="CY14" s="450">
        <v>0</v>
      </c>
      <c r="CZ14" s="452">
        <v>0</v>
      </c>
      <c r="DA14" s="490">
        <v>0</v>
      </c>
      <c r="DB14" s="450">
        <v>0</v>
      </c>
      <c r="DC14" s="452">
        <v>0</v>
      </c>
      <c r="DD14" s="490">
        <v>0</v>
      </c>
      <c r="DE14" s="450">
        <v>0</v>
      </c>
      <c r="DF14" s="452">
        <v>0</v>
      </c>
      <c r="DG14" s="490">
        <v>0</v>
      </c>
      <c r="DH14" s="450">
        <v>0</v>
      </c>
      <c r="DI14" s="452">
        <v>0</v>
      </c>
      <c r="DJ14" s="490">
        <v>0</v>
      </c>
      <c r="DK14" s="450">
        <v>0</v>
      </c>
      <c r="DL14" s="452">
        <v>0</v>
      </c>
      <c r="DM14" s="490">
        <v>0</v>
      </c>
      <c r="DN14" s="450">
        <v>0</v>
      </c>
      <c r="DO14" s="452">
        <v>0</v>
      </c>
      <c r="DP14" s="490">
        <v>0</v>
      </c>
      <c r="DQ14" s="450">
        <v>0</v>
      </c>
      <c r="DR14" s="452">
        <v>0</v>
      </c>
      <c r="DS14" s="490">
        <v>0</v>
      </c>
      <c r="DT14" s="450">
        <v>0</v>
      </c>
      <c r="DU14" s="452">
        <v>0</v>
      </c>
      <c r="DV14" s="490">
        <v>0</v>
      </c>
      <c r="DW14" s="450">
        <v>0</v>
      </c>
      <c r="DX14" s="452">
        <v>0</v>
      </c>
      <c r="DY14" s="490">
        <v>0</v>
      </c>
      <c r="DZ14" s="450">
        <v>0</v>
      </c>
      <c r="EA14" s="452">
        <v>0</v>
      </c>
      <c r="EB14" s="490">
        <v>0</v>
      </c>
      <c r="EC14" s="450">
        <v>0</v>
      </c>
      <c r="ED14" s="452">
        <v>0</v>
      </c>
      <c r="EE14" s="490">
        <v>0</v>
      </c>
      <c r="EF14" s="450">
        <v>0</v>
      </c>
      <c r="EG14" s="452">
        <v>0</v>
      </c>
      <c r="EH14" s="490">
        <v>0</v>
      </c>
      <c r="EI14" s="450">
        <v>0</v>
      </c>
      <c r="EJ14" s="452">
        <v>0</v>
      </c>
      <c r="EK14" s="490">
        <v>0</v>
      </c>
      <c r="EL14" s="450">
        <v>0</v>
      </c>
      <c r="EM14" s="452">
        <v>0</v>
      </c>
      <c r="EN14" s="490">
        <v>0</v>
      </c>
      <c r="EO14" s="450">
        <v>0</v>
      </c>
      <c r="EP14" s="452">
        <v>0</v>
      </c>
      <c r="EQ14" s="490">
        <v>0</v>
      </c>
      <c r="ER14" s="450">
        <v>0</v>
      </c>
      <c r="ES14" s="452">
        <v>0</v>
      </c>
      <c r="ET14" s="490">
        <v>0</v>
      </c>
      <c r="EU14" s="450">
        <v>0</v>
      </c>
      <c r="EV14" s="452">
        <v>0</v>
      </c>
      <c r="EW14" s="490">
        <v>0</v>
      </c>
      <c r="EX14" s="450">
        <v>0</v>
      </c>
      <c r="EY14" s="452">
        <v>0</v>
      </c>
      <c r="EZ14" s="490">
        <v>0</v>
      </c>
      <c r="FA14" s="450">
        <v>0</v>
      </c>
      <c r="FB14" s="452">
        <v>0</v>
      </c>
      <c r="FC14" s="490">
        <v>0</v>
      </c>
      <c r="FD14" s="450">
        <v>0</v>
      </c>
      <c r="FE14" s="452">
        <v>0</v>
      </c>
      <c r="FF14" s="490">
        <v>0</v>
      </c>
      <c r="FG14" s="450">
        <v>0</v>
      </c>
      <c r="FH14" s="452">
        <v>0</v>
      </c>
      <c r="FI14" s="490">
        <v>0</v>
      </c>
      <c r="FJ14" s="450">
        <v>0</v>
      </c>
      <c r="FK14" s="452">
        <v>0</v>
      </c>
      <c r="FL14" s="490">
        <v>0</v>
      </c>
      <c r="FM14" s="450">
        <v>0</v>
      </c>
      <c r="FN14" s="452">
        <v>0</v>
      </c>
      <c r="FO14" s="490">
        <v>0</v>
      </c>
      <c r="FP14" s="450">
        <v>0</v>
      </c>
      <c r="FQ14" s="452">
        <v>0</v>
      </c>
      <c r="FR14" s="490">
        <v>0</v>
      </c>
      <c r="FS14" s="450">
        <v>0</v>
      </c>
      <c r="FT14" s="452">
        <v>0</v>
      </c>
      <c r="FU14" s="490">
        <v>0</v>
      </c>
      <c r="FV14" s="450">
        <v>0</v>
      </c>
      <c r="FW14" s="452">
        <v>0</v>
      </c>
      <c r="FX14" s="490">
        <v>0</v>
      </c>
      <c r="FY14" s="450">
        <v>0</v>
      </c>
      <c r="FZ14" s="452">
        <v>0</v>
      </c>
      <c r="GA14" s="490">
        <v>0</v>
      </c>
      <c r="GB14" s="450">
        <v>0</v>
      </c>
      <c r="GC14" s="452">
        <v>0</v>
      </c>
      <c r="GD14" s="490">
        <v>0</v>
      </c>
      <c r="GE14" s="450">
        <v>0</v>
      </c>
      <c r="GF14" s="452">
        <v>0</v>
      </c>
      <c r="GG14" s="490">
        <v>0</v>
      </c>
      <c r="GH14" s="450">
        <v>0</v>
      </c>
      <c r="GI14" s="452">
        <v>0</v>
      </c>
      <c r="GJ14" s="490">
        <v>0</v>
      </c>
      <c r="GK14" s="450">
        <v>0</v>
      </c>
      <c r="GL14" s="452">
        <v>0</v>
      </c>
      <c r="GM14" s="490">
        <v>0</v>
      </c>
      <c r="GN14" s="450">
        <v>0</v>
      </c>
      <c r="GO14" s="452">
        <v>0</v>
      </c>
      <c r="GP14" s="451">
        <v>0</v>
      </c>
      <c r="GQ14" s="450">
        <v>0</v>
      </c>
      <c r="GR14" s="452">
        <v>0</v>
      </c>
      <c r="GS14" s="451">
        <v>0</v>
      </c>
      <c r="GT14" s="450">
        <v>0</v>
      </c>
      <c r="GU14" s="452">
        <v>0</v>
      </c>
      <c r="GV14" s="451">
        <v>0</v>
      </c>
      <c r="GW14" s="450">
        <v>0</v>
      </c>
      <c r="GX14" s="452">
        <v>0</v>
      </c>
      <c r="GY14" s="451">
        <v>0</v>
      </c>
      <c r="GZ14" s="450">
        <v>0</v>
      </c>
      <c r="HA14" s="452">
        <v>0</v>
      </c>
      <c r="HB14" s="451">
        <v>0</v>
      </c>
      <c r="HC14" s="450">
        <v>0</v>
      </c>
      <c r="HD14" s="452">
        <v>0</v>
      </c>
      <c r="HE14" s="451">
        <v>0</v>
      </c>
      <c r="HF14" s="450">
        <v>0</v>
      </c>
    </row>
    <row r="15" spans="1:214" s="449" customFormat="1" ht="17.399999999999999" hidden="1" customHeight="1" x14ac:dyDescent="0.3">
      <c r="A15" s="461" t="s">
        <v>483</v>
      </c>
      <c r="D15" s="449" t="s">
        <v>368</v>
      </c>
      <c r="G15" s="449" t="s">
        <v>368</v>
      </c>
      <c r="Q15" s="508"/>
      <c r="R15" s="508"/>
      <c r="S15" s="432" t="e">
        <v>#DIV/0!</v>
      </c>
      <c r="T15" s="504"/>
      <c r="U15" s="504"/>
      <c r="V15" s="428" t="e">
        <v>#DIV/0!</v>
      </c>
      <c r="W15" s="504"/>
      <c r="X15" s="504"/>
      <c r="Y15" s="428" t="e">
        <v>#DIV/0!</v>
      </c>
      <c r="Z15" s="504"/>
      <c r="AA15" s="504"/>
      <c r="AB15" s="428" t="e">
        <v>#DIV/0!</v>
      </c>
      <c r="AC15" s="504"/>
      <c r="AD15" s="504"/>
      <c r="AE15" s="428" t="e">
        <v>#DIV/0!</v>
      </c>
      <c r="AF15" s="504"/>
      <c r="AG15" s="504"/>
      <c r="AH15" s="428" t="e">
        <v>#DIV/0!</v>
      </c>
      <c r="AI15" s="504"/>
      <c r="AJ15" s="504"/>
      <c r="AK15" s="428" t="e">
        <v>#DIV/0!</v>
      </c>
      <c r="AL15" s="507"/>
      <c r="AM15" s="506"/>
      <c r="AN15" s="432">
        <v>0</v>
      </c>
      <c r="AO15" s="505"/>
      <c r="AP15" s="462"/>
      <c r="AQ15" s="432">
        <v>0</v>
      </c>
      <c r="AR15" s="504"/>
      <c r="AS15" s="504"/>
      <c r="AT15" s="428" t="e">
        <v>#DIV/0!</v>
      </c>
      <c r="AU15" s="502"/>
      <c r="AV15" s="503"/>
      <c r="AW15" s="425" t="e">
        <v>#DIV/0!</v>
      </c>
      <c r="AX15" s="502"/>
      <c r="AY15" s="503"/>
      <c r="AZ15" s="425" t="e">
        <v>#DIV/0!</v>
      </c>
      <c r="BA15" s="502"/>
      <c r="BB15" s="503"/>
      <c r="BC15" s="425" t="e">
        <v>#DIV/0!</v>
      </c>
      <c r="BD15" s="502"/>
      <c r="BE15" s="502"/>
      <c r="BF15" s="425" t="e">
        <v>#DIV/0!</v>
      </c>
      <c r="BG15" s="502"/>
      <c r="BH15" s="502"/>
      <c r="BI15" s="425" t="e">
        <v>#DIV/0!</v>
      </c>
      <c r="BJ15" s="502"/>
      <c r="BK15" s="502"/>
      <c r="BL15" s="425" t="e">
        <v>#DIV/0!</v>
      </c>
      <c r="BM15" s="502"/>
      <c r="BN15" s="502"/>
      <c r="BO15" s="425" t="e">
        <v>#DIV/0!</v>
      </c>
      <c r="BP15" s="502"/>
      <c r="BQ15" s="502"/>
      <c r="BR15" s="425" t="e">
        <v>#DIV/0!</v>
      </c>
      <c r="BS15" s="502"/>
      <c r="BT15" s="502"/>
      <c r="BU15" s="425" t="e">
        <v>#DIV/0!</v>
      </c>
      <c r="BV15" s="502"/>
      <c r="BW15" s="502"/>
      <c r="BX15" s="425" t="e">
        <v>#DIV/0!</v>
      </c>
      <c r="BY15" s="452">
        <v>0</v>
      </c>
      <c r="BZ15" s="490">
        <v>0</v>
      </c>
      <c r="CA15" s="425" t="e">
        <v>#DIV/0!</v>
      </c>
      <c r="CB15" s="452">
        <v>0</v>
      </c>
      <c r="CC15" s="490">
        <v>0</v>
      </c>
      <c r="CD15" s="425" t="e">
        <v>#DIV/0!</v>
      </c>
      <c r="CE15" s="452">
        <v>0</v>
      </c>
      <c r="CF15" s="490">
        <v>0</v>
      </c>
      <c r="CG15" s="425" t="e">
        <v>#DIV/0!</v>
      </c>
      <c r="CH15" s="452">
        <v>0</v>
      </c>
      <c r="CI15" s="490">
        <v>0</v>
      </c>
      <c r="CJ15" s="425" t="e">
        <v>#DIV/0!</v>
      </c>
      <c r="CK15" s="452">
        <v>0</v>
      </c>
      <c r="CL15" s="490">
        <v>0</v>
      </c>
      <c r="CM15" s="425" t="e">
        <v>#DIV/0!</v>
      </c>
      <c r="CN15" s="452">
        <v>0</v>
      </c>
      <c r="CO15" s="490">
        <v>0</v>
      </c>
      <c r="CP15" s="425" t="e">
        <v>#DIV/0!</v>
      </c>
      <c r="CQ15" s="452">
        <v>0</v>
      </c>
      <c r="CR15" s="490">
        <v>0</v>
      </c>
      <c r="CS15" s="425" t="e">
        <v>#DIV/0!</v>
      </c>
      <c r="CT15" s="452">
        <v>0</v>
      </c>
      <c r="CU15" s="490">
        <v>0</v>
      </c>
      <c r="CV15" s="425" t="e">
        <v>#DIV/0!</v>
      </c>
      <c r="CW15" s="452">
        <v>0</v>
      </c>
      <c r="CX15" s="490">
        <v>0</v>
      </c>
      <c r="CY15" s="425" t="e">
        <v>#DIV/0!</v>
      </c>
      <c r="CZ15" s="452">
        <v>0</v>
      </c>
      <c r="DA15" s="490">
        <v>0</v>
      </c>
      <c r="DB15" s="425" t="e">
        <v>#DIV/0!</v>
      </c>
      <c r="DC15" s="452">
        <v>0</v>
      </c>
      <c r="DD15" s="490">
        <v>0</v>
      </c>
      <c r="DE15" s="425" t="e">
        <v>#DIV/0!</v>
      </c>
      <c r="DF15" s="452">
        <v>0</v>
      </c>
      <c r="DG15" s="490">
        <v>0</v>
      </c>
      <c r="DH15" s="425" t="e">
        <v>#DIV/0!</v>
      </c>
      <c r="DI15" s="452">
        <v>0</v>
      </c>
      <c r="DJ15" s="490">
        <v>0</v>
      </c>
      <c r="DK15" s="425" t="e">
        <v>#DIV/0!</v>
      </c>
      <c r="DL15" s="452">
        <v>0</v>
      </c>
      <c r="DM15" s="490">
        <v>0</v>
      </c>
      <c r="DN15" s="425" t="e">
        <v>#DIV/0!</v>
      </c>
      <c r="DO15" s="452">
        <v>0</v>
      </c>
      <c r="DP15" s="490">
        <v>0</v>
      </c>
      <c r="DQ15" s="425" t="e">
        <v>#DIV/0!</v>
      </c>
      <c r="DR15" s="452">
        <v>0</v>
      </c>
      <c r="DS15" s="490">
        <v>0</v>
      </c>
      <c r="DT15" s="425" t="e">
        <v>#DIV/0!</v>
      </c>
      <c r="DU15" s="452">
        <v>0</v>
      </c>
      <c r="DV15" s="490">
        <v>0</v>
      </c>
      <c r="DW15" s="425" t="e">
        <v>#DIV/0!</v>
      </c>
      <c r="DX15" s="452">
        <v>0</v>
      </c>
      <c r="DY15" s="490">
        <v>0</v>
      </c>
      <c r="DZ15" s="425" t="e">
        <v>#DIV/0!</v>
      </c>
      <c r="EA15" s="452">
        <v>0</v>
      </c>
      <c r="EB15" s="490">
        <v>0</v>
      </c>
      <c r="EC15" s="425" t="e">
        <v>#DIV/0!</v>
      </c>
      <c r="ED15" s="452">
        <v>0</v>
      </c>
      <c r="EE15" s="490">
        <v>0</v>
      </c>
      <c r="EF15" s="425" t="e">
        <v>#DIV/0!</v>
      </c>
      <c r="EG15" s="452">
        <v>0</v>
      </c>
      <c r="EH15" s="490">
        <v>0</v>
      </c>
      <c r="EI15" s="425" t="e">
        <v>#DIV/0!</v>
      </c>
      <c r="EJ15" s="452">
        <v>0</v>
      </c>
      <c r="EK15" s="490">
        <v>0</v>
      </c>
      <c r="EL15" s="425" t="e">
        <v>#DIV/0!</v>
      </c>
      <c r="EM15" s="452">
        <v>0</v>
      </c>
      <c r="EN15" s="490">
        <v>0</v>
      </c>
      <c r="EO15" s="425" t="e">
        <v>#DIV/0!</v>
      </c>
      <c r="EP15" s="452">
        <v>0</v>
      </c>
      <c r="EQ15" s="490">
        <v>0</v>
      </c>
      <c r="ER15" s="425" t="e">
        <v>#DIV/0!</v>
      </c>
      <c r="ES15" s="452">
        <v>0</v>
      </c>
      <c r="ET15" s="490">
        <v>0</v>
      </c>
      <c r="EU15" s="425" t="e">
        <v>#DIV/0!</v>
      </c>
      <c r="EV15" s="452">
        <v>0</v>
      </c>
      <c r="EW15" s="490">
        <v>0</v>
      </c>
      <c r="EX15" s="425" t="e">
        <v>#DIV/0!</v>
      </c>
      <c r="EY15" s="452">
        <v>0</v>
      </c>
      <c r="EZ15" s="490">
        <v>0</v>
      </c>
      <c r="FA15" s="425" t="e">
        <v>#DIV/0!</v>
      </c>
      <c r="FB15" s="452">
        <v>0</v>
      </c>
      <c r="FC15" s="490">
        <v>0</v>
      </c>
      <c r="FD15" s="425" t="e">
        <v>#DIV/0!</v>
      </c>
      <c r="FE15" s="452">
        <v>0</v>
      </c>
      <c r="FF15" s="490">
        <v>0</v>
      </c>
      <c r="FG15" s="425" t="e">
        <v>#DIV/0!</v>
      </c>
      <c r="FH15" s="452">
        <v>0</v>
      </c>
      <c r="FI15" s="490">
        <v>0</v>
      </c>
      <c r="FJ15" s="425" t="e">
        <v>#DIV/0!</v>
      </c>
      <c r="FK15" s="452">
        <v>0</v>
      </c>
      <c r="FL15" s="490">
        <v>0</v>
      </c>
      <c r="FM15" s="425" t="e">
        <v>#DIV/0!</v>
      </c>
      <c r="FN15" s="452">
        <v>0</v>
      </c>
      <c r="FO15" s="490">
        <v>0</v>
      </c>
      <c r="FP15" s="425" t="e">
        <v>#DIV/0!</v>
      </c>
      <c r="FQ15" s="452">
        <v>0</v>
      </c>
      <c r="FR15" s="490">
        <v>0</v>
      </c>
      <c r="FS15" s="425" t="e">
        <v>#DIV/0!</v>
      </c>
      <c r="FT15" s="452">
        <v>0</v>
      </c>
      <c r="FU15" s="490">
        <v>0</v>
      </c>
      <c r="FV15" s="425" t="e">
        <v>#DIV/0!</v>
      </c>
      <c r="FW15" s="452">
        <v>0</v>
      </c>
      <c r="FX15" s="490">
        <v>0</v>
      </c>
      <c r="FY15" s="425" t="e">
        <v>#DIV/0!</v>
      </c>
      <c r="FZ15" s="452">
        <v>0</v>
      </c>
      <c r="GA15" s="490">
        <v>0</v>
      </c>
      <c r="GB15" s="425" t="e">
        <v>#DIV/0!</v>
      </c>
      <c r="GC15" s="452">
        <v>0</v>
      </c>
      <c r="GD15" s="490">
        <v>0</v>
      </c>
      <c r="GE15" s="425" t="e">
        <v>#DIV/0!</v>
      </c>
      <c r="GF15" s="452">
        <v>0</v>
      </c>
      <c r="GG15" s="490">
        <v>0</v>
      </c>
      <c r="GH15" s="425" t="e">
        <v>#DIV/0!</v>
      </c>
      <c r="GI15" s="452">
        <v>0</v>
      </c>
      <c r="GJ15" s="490">
        <v>0</v>
      </c>
      <c r="GK15" s="425" t="e">
        <v>#DIV/0!</v>
      </c>
      <c r="GL15" s="452">
        <v>0</v>
      </c>
      <c r="GM15" s="490">
        <v>0</v>
      </c>
      <c r="GN15" s="425" t="e">
        <v>#DIV/0!</v>
      </c>
      <c r="GO15" s="452">
        <v>0</v>
      </c>
      <c r="GP15" s="451">
        <v>0</v>
      </c>
      <c r="GQ15" s="425" t="e">
        <v>#DIV/0!</v>
      </c>
      <c r="GR15" s="452">
        <v>0</v>
      </c>
      <c r="GS15" s="451">
        <v>0</v>
      </c>
      <c r="GT15" s="425" t="e">
        <v>#DIV/0!</v>
      </c>
      <c r="GU15" s="452">
        <v>0</v>
      </c>
      <c r="GV15" s="451">
        <v>0</v>
      </c>
      <c r="GW15" s="425" t="e">
        <v>#DIV/0!</v>
      </c>
      <c r="GX15" s="452">
        <v>0</v>
      </c>
      <c r="GY15" s="451">
        <v>0</v>
      </c>
      <c r="GZ15" s="425" t="e">
        <v>#DIV/0!</v>
      </c>
      <c r="HA15" s="452">
        <v>0</v>
      </c>
      <c r="HB15" s="451">
        <v>0</v>
      </c>
      <c r="HC15" s="425" t="e">
        <v>#DIV/0!</v>
      </c>
      <c r="HD15" s="452">
        <v>0</v>
      </c>
      <c r="HE15" s="451">
        <v>0</v>
      </c>
      <c r="HF15" s="425" t="e">
        <v>#DIV/0!</v>
      </c>
    </row>
    <row r="16" spans="1:214" s="449" customFormat="1" ht="17.399999999999999" hidden="1" customHeight="1" x14ac:dyDescent="0.3">
      <c r="A16" s="461" t="s">
        <v>516</v>
      </c>
      <c r="B16" s="460">
        <v>17876</v>
      </c>
      <c r="C16" s="459">
        <v>150683</v>
      </c>
      <c r="D16" s="458">
        <v>2.68071994435144</v>
      </c>
      <c r="E16" s="460">
        <v>17876</v>
      </c>
      <c r="F16" s="459">
        <v>163874</v>
      </c>
      <c r="G16" s="458">
        <v>2.7911086615251475</v>
      </c>
      <c r="H16" s="460">
        <v>17876</v>
      </c>
      <c r="I16" s="459">
        <v>166491</v>
      </c>
      <c r="J16" s="458">
        <v>2.9020446837942462</v>
      </c>
      <c r="K16" s="460">
        <v>18000</v>
      </c>
      <c r="L16" s="459">
        <v>164000</v>
      </c>
      <c r="M16" s="458">
        <v>3.008070432868672</v>
      </c>
      <c r="N16" s="460">
        <v>14000</v>
      </c>
      <c r="O16" s="459">
        <v>131000</v>
      </c>
      <c r="P16" s="458">
        <v>2.4651863003387278</v>
      </c>
      <c r="Q16" s="457">
        <v>14</v>
      </c>
      <c r="R16" s="456">
        <v>131</v>
      </c>
      <c r="S16" s="432">
        <v>2.4791824375473124</v>
      </c>
      <c r="T16" s="457">
        <v>14</v>
      </c>
      <c r="U16" s="456">
        <v>131</v>
      </c>
      <c r="V16" s="432">
        <v>2.5641025641025639</v>
      </c>
      <c r="W16" s="457">
        <v>14</v>
      </c>
      <c r="X16" s="456">
        <v>131</v>
      </c>
      <c r="Y16" s="432">
        <v>2.1122218639148662</v>
      </c>
      <c r="Z16" s="457">
        <v>14</v>
      </c>
      <c r="AA16" s="456">
        <v>131</v>
      </c>
      <c r="AB16" s="432">
        <v>2.1328557473135787</v>
      </c>
      <c r="AC16" s="457">
        <v>14</v>
      </c>
      <c r="AD16" s="456">
        <v>140</v>
      </c>
      <c r="AE16" s="432">
        <v>2.6525198938992043</v>
      </c>
      <c r="AF16" s="457">
        <v>14</v>
      </c>
      <c r="AG16" s="456">
        <v>141</v>
      </c>
      <c r="AH16" s="432">
        <v>2.8171828171828173</v>
      </c>
      <c r="AI16" s="457">
        <v>11</v>
      </c>
      <c r="AJ16" s="456">
        <v>106</v>
      </c>
      <c r="AK16" s="432">
        <v>2.2203602848764139</v>
      </c>
      <c r="AL16" s="507">
        <v>0</v>
      </c>
      <c r="AM16" s="506">
        <v>90</v>
      </c>
      <c r="AN16" s="432">
        <v>1.5828350334154064</v>
      </c>
      <c r="AO16" s="505">
        <v>7</v>
      </c>
      <c r="AP16" s="462">
        <v>66</v>
      </c>
      <c r="AQ16" s="432">
        <v>0.73333333333333328</v>
      </c>
      <c r="AR16" s="457">
        <v>7</v>
      </c>
      <c r="AS16" s="456">
        <v>67</v>
      </c>
      <c r="AT16" s="432">
        <v>0.7481853713009492</v>
      </c>
      <c r="AU16" s="509">
        <v>7</v>
      </c>
      <c r="AV16" s="451">
        <v>67</v>
      </c>
      <c r="AW16" s="450">
        <v>0.75154234436343237</v>
      </c>
      <c r="AX16" s="509">
        <v>3.6</v>
      </c>
      <c r="AY16" s="451">
        <v>35</v>
      </c>
      <c r="AZ16" s="450">
        <v>0.38105606967882416</v>
      </c>
      <c r="BA16" s="509">
        <v>3.6</v>
      </c>
      <c r="BB16" s="451">
        <v>36</v>
      </c>
      <c r="BC16" s="450">
        <v>0.39630118890356669</v>
      </c>
      <c r="BD16" s="452">
        <v>3.6</v>
      </c>
      <c r="BE16" s="451">
        <v>36</v>
      </c>
      <c r="BF16" s="450">
        <v>0.38986354775828458</v>
      </c>
      <c r="BG16" s="452">
        <v>4</v>
      </c>
      <c r="BH16" s="451">
        <v>37</v>
      </c>
      <c r="BI16" s="450">
        <v>0.39793503979350398</v>
      </c>
      <c r="BJ16" s="452">
        <v>0</v>
      </c>
      <c r="BK16" s="451">
        <v>0</v>
      </c>
      <c r="BL16" s="450">
        <v>0</v>
      </c>
      <c r="BM16" s="452">
        <v>0</v>
      </c>
      <c r="BN16" s="451">
        <v>0</v>
      </c>
      <c r="BO16" s="450">
        <v>0</v>
      </c>
      <c r="BP16" s="452">
        <v>0</v>
      </c>
      <c r="BQ16" s="451">
        <v>0</v>
      </c>
      <c r="BR16" s="450">
        <v>0</v>
      </c>
      <c r="BS16" s="452">
        <v>0</v>
      </c>
      <c r="BT16" s="451">
        <v>0</v>
      </c>
      <c r="BU16" s="450">
        <v>0</v>
      </c>
      <c r="BV16" s="452">
        <v>0</v>
      </c>
      <c r="BW16" s="451">
        <v>0</v>
      </c>
      <c r="BX16" s="450">
        <v>0</v>
      </c>
      <c r="BY16" s="452">
        <v>0</v>
      </c>
      <c r="BZ16" s="490">
        <v>0</v>
      </c>
      <c r="CA16" s="450">
        <v>0</v>
      </c>
      <c r="CB16" s="452">
        <v>0</v>
      </c>
      <c r="CC16" s="490">
        <v>0</v>
      </c>
      <c r="CD16" s="450">
        <v>0</v>
      </c>
      <c r="CE16" s="452">
        <v>0</v>
      </c>
      <c r="CF16" s="490">
        <v>0</v>
      </c>
      <c r="CG16" s="450">
        <v>0</v>
      </c>
      <c r="CH16" s="452">
        <v>0</v>
      </c>
      <c r="CI16" s="490">
        <v>0</v>
      </c>
      <c r="CJ16" s="450">
        <v>0</v>
      </c>
      <c r="CK16" s="452">
        <v>0</v>
      </c>
      <c r="CL16" s="490">
        <v>0</v>
      </c>
      <c r="CM16" s="450">
        <v>0</v>
      </c>
      <c r="CN16" s="452">
        <v>0</v>
      </c>
      <c r="CO16" s="490">
        <v>0</v>
      </c>
      <c r="CP16" s="450">
        <v>0</v>
      </c>
      <c r="CQ16" s="452">
        <v>0</v>
      </c>
      <c r="CR16" s="490">
        <v>0</v>
      </c>
      <c r="CS16" s="450">
        <v>0</v>
      </c>
      <c r="CT16" s="452">
        <v>0</v>
      </c>
      <c r="CU16" s="490">
        <v>0</v>
      </c>
      <c r="CV16" s="450">
        <v>0</v>
      </c>
      <c r="CW16" s="452">
        <v>0</v>
      </c>
      <c r="CX16" s="490">
        <v>0</v>
      </c>
      <c r="CY16" s="450">
        <v>0</v>
      </c>
      <c r="CZ16" s="452">
        <v>0</v>
      </c>
      <c r="DA16" s="490">
        <v>0</v>
      </c>
      <c r="DB16" s="450">
        <v>0</v>
      </c>
      <c r="DC16" s="452">
        <v>0</v>
      </c>
      <c r="DD16" s="490">
        <v>0</v>
      </c>
      <c r="DE16" s="450">
        <v>0</v>
      </c>
      <c r="DF16" s="452">
        <v>0</v>
      </c>
      <c r="DG16" s="490">
        <v>0</v>
      </c>
      <c r="DH16" s="450">
        <v>0</v>
      </c>
      <c r="DI16" s="452">
        <v>0</v>
      </c>
      <c r="DJ16" s="490">
        <v>0</v>
      </c>
      <c r="DK16" s="450">
        <v>0</v>
      </c>
      <c r="DL16" s="452">
        <v>0</v>
      </c>
      <c r="DM16" s="490">
        <v>0</v>
      </c>
      <c r="DN16" s="450">
        <v>0</v>
      </c>
      <c r="DO16" s="452">
        <v>0</v>
      </c>
      <c r="DP16" s="490">
        <v>0</v>
      </c>
      <c r="DQ16" s="450">
        <v>0</v>
      </c>
      <c r="DR16" s="452">
        <v>0</v>
      </c>
      <c r="DS16" s="490">
        <v>0</v>
      </c>
      <c r="DT16" s="450">
        <v>0</v>
      </c>
      <c r="DU16" s="452">
        <v>0</v>
      </c>
      <c r="DV16" s="490">
        <v>0</v>
      </c>
      <c r="DW16" s="450">
        <v>0</v>
      </c>
      <c r="DX16" s="452">
        <v>0</v>
      </c>
      <c r="DY16" s="490">
        <v>0</v>
      </c>
      <c r="DZ16" s="450">
        <v>0</v>
      </c>
      <c r="EA16" s="452">
        <v>0</v>
      </c>
      <c r="EB16" s="490">
        <v>0</v>
      </c>
      <c r="EC16" s="450">
        <v>0</v>
      </c>
      <c r="ED16" s="452">
        <v>0</v>
      </c>
      <c r="EE16" s="490">
        <v>0</v>
      </c>
      <c r="EF16" s="450">
        <v>0</v>
      </c>
      <c r="EG16" s="452">
        <v>0</v>
      </c>
      <c r="EH16" s="490">
        <v>0</v>
      </c>
      <c r="EI16" s="450">
        <v>0</v>
      </c>
      <c r="EJ16" s="452">
        <v>0</v>
      </c>
      <c r="EK16" s="490">
        <v>0</v>
      </c>
      <c r="EL16" s="450">
        <v>0</v>
      </c>
      <c r="EM16" s="452">
        <v>0</v>
      </c>
      <c r="EN16" s="490">
        <v>0</v>
      </c>
      <c r="EO16" s="450">
        <v>0</v>
      </c>
      <c r="EP16" s="452">
        <v>0</v>
      </c>
      <c r="EQ16" s="490">
        <v>0</v>
      </c>
      <c r="ER16" s="450">
        <v>0</v>
      </c>
      <c r="ES16" s="452">
        <v>0</v>
      </c>
      <c r="ET16" s="490">
        <v>0</v>
      </c>
      <c r="EU16" s="450">
        <v>0</v>
      </c>
      <c r="EV16" s="452">
        <v>0</v>
      </c>
      <c r="EW16" s="490">
        <v>0</v>
      </c>
      <c r="EX16" s="450">
        <v>0</v>
      </c>
      <c r="EY16" s="452">
        <v>0</v>
      </c>
      <c r="EZ16" s="490">
        <v>0</v>
      </c>
      <c r="FA16" s="450">
        <v>0</v>
      </c>
      <c r="FB16" s="452">
        <v>0</v>
      </c>
      <c r="FC16" s="490">
        <v>0</v>
      </c>
      <c r="FD16" s="450">
        <v>0</v>
      </c>
      <c r="FE16" s="452">
        <v>0</v>
      </c>
      <c r="FF16" s="490">
        <v>0</v>
      </c>
      <c r="FG16" s="450">
        <v>0</v>
      </c>
      <c r="FH16" s="452">
        <v>0</v>
      </c>
      <c r="FI16" s="490">
        <v>0</v>
      </c>
      <c r="FJ16" s="450">
        <v>0</v>
      </c>
      <c r="FK16" s="452">
        <v>0</v>
      </c>
      <c r="FL16" s="490">
        <v>0</v>
      </c>
      <c r="FM16" s="450">
        <v>0</v>
      </c>
      <c r="FN16" s="452">
        <v>0</v>
      </c>
      <c r="FO16" s="490">
        <v>0</v>
      </c>
      <c r="FP16" s="450">
        <v>0</v>
      </c>
      <c r="FQ16" s="452">
        <v>0</v>
      </c>
      <c r="FR16" s="490">
        <v>0</v>
      </c>
      <c r="FS16" s="450">
        <v>0</v>
      </c>
      <c r="FT16" s="452">
        <v>0</v>
      </c>
      <c r="FU16" s="490">
        <v>0</v>
      </c>
      <c r="FV16" s="450">
        <v>0</v>
      </c>
      <c r="FW16" s="452">
        <v>0</v>
      </c>
      <c r="FX16" s="490">
        <v>0</v>
      </c>
      <c r="FY16" s="450">
        <v>0</v>
      </c>
      <c r="FZ16" s="452">
        <v>0</v>
      </c>
      <c r="GA16" s="490">
        <v>0</v>
      </c>
      <c r="GB16" s="450">
        <v>0</v>
      </c>
      <c r="GC16" s="452">
        <v>0</v>
      </c>
      <c r="GD16" s="490">
        <v>0</v>
      </c>
      <c r="GE16" s="450">
        <v>0</v>
      </c>
      <c r="GF16" s="452">
        <v>0</v>
      </c>
      <c r="GG16" s="490">
        <v>0</v>
      </c>
      <c r="GH16" s="450">
        <v>0</v>
      </c>
      <c r="GI16" s="452">
        <v>0</v>
      </c>
      <c r="GJ16" s="490">
        <v>0</v>
      </c>
      <c r="GK16" s="450">
        <v>0</v>
      </c>
      <c r="GL16" s="452">
        <v>0</v>
      </c>
      <c r="GM16" s="490">
        <v>0</v>
      </c>
      <c r="GN16" s="450">
        <v>0</v>
      </c>
      <c r="GO16" s="452">
        <v>0</v>
      </c>
      <c r="GP16" s="451">
        <v>0</v>
      </c>
      <c r="GQ16" s="450">
        <v>0</v>
      </c>
      <c r="GR16" s="452">
        <v>0</v>
      </c>
      <c r="GS16" s="451">
        <v>0</v>
      </c>
      <c r="GT16" s="450">
        <v>0</v>
      </c>
      <c r="GU16" s="452">
        <v>0</v>
      </c>
      <c r="GV16" s="451">
        <v>0</v>
      </c>
      <c r="GW16" s="450">
        <v>0</v>
      </c>
      <c r="GX16" s="452">
        <v>0</v>
      </c>
      <c r="GY16" s="451">
        <v>0</v>
      </c>
      <c r="GZ16" s="450">
        <v>0</v>
      </c>
      <c r="HA16" s="452">
        <v>0</v>
      </c>
      <c r="HB16" s="451">
        <v>0</v>
      </c>
      <c r="HC16" s="450">
        <v>0</v>
      </c>
      <c r="HD16" s="452">
        <v>0</v>
      </c>
      <c r="HE16" s="451">
        <v>0</v>
      </c>
      <c r="HF16" s="450">
        <v>0</v>
      </c>
    </row>
    <row r="17" spans="1:214" s="449" customFormat="1" ht="17.399999999999999" hidden="1" customHeight="1" x14ac:dyDescent="0.3">
      <c r="A17" s="461" t="s">
        <v>485</v>
      </c>
      <c r="D17" s="449" t="s">
        <v>368</v>
      </c>
      <c r="G17" s="449" t="s">
        <v>368</v>
      </c>
      <c r="Q17" s="508"/>
      <c r="R17" s="508"/>
      <c r="S17" s="432">
        <v>0</v>
      </c>
      <c r="T17" s="504"/>
      <c r="U17" s="504"/>
      <c r="V17" s="428">
        <v>0</v>
      </c>
      <c r="W17" s="504"/>
      <c r="X17" s="504"/>
      <c r="Y17" s="428">
        <v>0</v>
      </c>
      <c r="Z17" s="504"/>
      <c r="AA17" s="504"/>
      <c r="AB17" s="428">
        <v>0</v>
      </c>
      <c r="AC17" s="504"/>
      <c r="AD17" s="504"/>
      <c r="AE17" s="428">
        <v>0</v>
      </c>
      <c r="AF17" s="504"/>
      <c r="AG17" s="504"/>
      <c r="AH17" s="428">
        <v>0</v>
      </c>
      <c r="AI17" s="504"/>
      <c r="AJ17" s="504"/>
      <c r="AK17" s="428">
        <v>0</v>
      </c>
      <c r="AL17" s="507"/>
      <c r="AM17" s="506"/>
      <c r="AN17" s="432" t="e">
        <v>#DIV/0!</v>
      </c>
      <c r="AO17" s="505"/>
      <c r="AP17" s="462"/>
      <c r="AQ17" s="432">
        <v>0</v>
      </c>
      <c r="AR17" s="504"/>
      <c r="AS17" s="504"/>
      <c r="AT17" s="428">
        <v>0</v>
      </c>
      <c r="AU17" s="502"/>
      <c r="AV17" s="503"/>
      <c r="AW17" s="425">
        <v>0</v>
      </c>
      <c r="AX17" s="502"/>
      <c r="AY17" s="503"/>
      <c r="AZ17" s="425">
        <v>0</v>
      </c>
      <c r="BA17" s="502"/>
      <c r="BB17" s="503"/>
      <c r="BC17" s="425" t="e">
        <v>#DIV/0!</v>
      </c>
      <c r="BD17" s="502"/>
      <c r="BE17" s="502"/>
      <c r="BF17" s="425" t="e">
        <v>#DIV/0!</v>
      </c>
      <c r="BG17" s="502"/>
      <c r="BH17" s="502"/>
      <c r="BI17" s="425" t="e">
        <v>#DIV/0!</v>
      </c>
      <c r="BJ17" s="502"/>
      <c r="BK17" s="502"/>
      <c r="BL17" s="425" t="e">
        <v>#DIV/0!</v>
      </c>
      <c r="BM17" s="502"/>
      <c r="BN17" s="502"/>
      <c r="BO17" s="425" t="e">
        <v>#DIV/0!</v>
      </c>
      <c r="BP17" s="502"/>
      <c r="BQ17" s="502"/>
      <c r="BR17" s="425" t="e">
        <v>#DIV/0!</v>
      </c>
      <c r="BS17" s="502"/>
      <c r="BT17" s="502"/>
      <c r="BU17" s="425" t="e">
        <v>#DIV/0!</v>
      </c>
      <c r="BV17" s="502"/>
      <c r="BW17" s="502"/>
      <c r="BX17" s="425" t="e">
        <v>#DIV/0!</v>
      </c>
      <c r="BY17" s="452">
        <v>0</v>
      </c>
      <c r="BZ17" s="490">
        <v>0</v>
      </c>
      <c r="CA17" s="425" t="e">
        <v>#DIV/0!</v>
      </c>
      <c r="CB17" s="452">
        <v>0</v>
      </c>
      <c r="CC17" s="490">
        <v>0</v>
      </c>
      <c r="CD17" s="425" t="e">
        <v>#DIV/0!</v>
      </c>
      <c r="CE17" s="452">
        <v>0</v>
      </c>
      <c r="CF17" s="490">
        <v>0</v>
      </c>
      <c r="CG17" s="425" t="e">
        <v>#DIV/0!</v>
      </c>
      <c r="CH17" s="452">
        <v>0</v>
      </c>
      <c r="CI17" s="490">
        <v>0</v>
      </c>
      <c r="CJ17" s="425" t="e">
        <v>#DIV/0!</v>
      </c>
      <c r="CK17" s="452">
        <v>0</v>
      </c>
      <c r="CL17" s="490">
        <v>0</v>
      </c>
      <c r="CM17" s="425" t="e">
        <v>#DIV/0!</v>
      </c>
      <c r="CN17" s="452">
        <v>0</v>
      </c>
      <c r="CO17" s="490">
        <v>0</v>
      </c>
      <c r="CP17" s="425" t="e">
        <v>#DIV/0!</v>
      </c>
      <c r="CQ17" s="452">
        <v>0</v>
      </c>
      <c r="CR17" s="490">
        <v>0</v>
      </c>
      <c r="CS17" s="425" t="e">
        <v>#DIV/0!</v>
      </c>
      <c r="CT17" s="452">
        <v>0</v>
      </c>
      <c r="CU17" s="490">
        <v>0</v>
      </c>
      <c r="CV17" s="425" t="e">
        <v>#DIV/0!</v>
      </c>
      <c r="CW17" s="452">
        <v>0</v>
      </c>
      <c r="CX17" s="490">
        <v>0</v>
      </c>
      <c r="CY17" s="425" t="e">
        <v>#DIV/0!</v>
      </c>
      <c r="CZ17" s="452">
        <v>0</v>
      </c>
      <c r="DA17" s="490">
        <v>0</v>
      </c>
      <c r="DB17" s="425" t="e">
        <v>#DIV/0!</v>
      </c>
      <c r="DC17" s="452">
        <v>0</v>
      </c>
      <c r="DD17" s="490">
        <v>0</v>
      </c>
      <c r="DE17" s="425" t="e">
        <v>#DIV/0!</v>
      </c>
      <c r="DF17" s="452">
        <v>0</v>
      </c>
      <c r="DG17" s="490">
        <v>0</v>
      </c>
      <c r="DH17" s="425" t="e">
        <v>#DIV/0!</v>
      </c>
      <c r="DI17" s="452">
        <v>0</v>
      </c>
      <c r="DJ17" s="490">
        <v>0</v>
      </c>
      <c r="DK17" s="425" t="e">
        <v>#DIV/0!</v>
      </c>
      <c r="DL17" s="452">
        <v>0</v>
      </c>
      <c r="DM17" s="490">
        <v>0</v>
      </c>
      <c r="DN17" s="425" t="e">
        <v>#DIV/0!</v>
      </c>
      <c r="DO17" s="452">
        <v>0</v>
      </c>
      <c r="DP17" s="490">
        <v>0</v>
      </c>
      <c r="DQ17" s="425" t="e">
        <v>#DIV/0!</v>
      </c>
      <c r="DR17" s="452">
        <v>0</v>
      </c>
      <c r="DS17" s="490">
        <v>0</v>
      </c>
      <c r="DT17" s="425" t="e">
        <v>#DIV/0!</v>
      </c>
      <c r="DU17" s="452">
        <v>0</v>
      </c>
      <c r="DV17" s="490">
        <v>0</v>
      </c>
      <c r="DW17" s="425" t="e">
        <v>#DIV/0!</v>
      </c>
      <c r="DX17" s="452">
        <v>0</v>
      </c>
      <c r="DY17" s="490">
        <v>0</v>
      </c>
      <c r="DZ17" s="425" t="e">
        <v>#DIV/0!</v>
      </c>
      <c r="EA17" s="452">
        <v>0</v>
      </c>
      <c r="EB17" s="490">
        <v>0</v>
      </c>
      <c r="EC17" s="425" t="e">
        <v>#DIV/0!</v>
      </c>
      <c r="ED17" s="452">
        <v>0</v>
      </c>
      <c r="EE17" s="490">
        <v>0</v>
      </c>
      <c r="EF17" s="425" t="e">
        <v>#DIV/0!</v>
      </c>
      <c r="EG17" s="452">
        <v>0</v>
      </c>
      <c r="EH17" s="490">
        <v>0</v>
      </c>
      <c r="EI17" s="425" t="e">
        <v>#DIV/0!</v>
      </c>
      <c r="EJ17" s="452">
        <v>0</v>
      </c>
      <c r="EK17" s="490">
        <v>0</v>
      </c>
      <c r="EL17" s="425" t="e">
        <v>#DIV/0!</v>
      </c>
      <c r="EM17" s="452">
        <v>0</v>
      </c>
      <c r="EN17" s="490">
        <v>0</v>
      </c>
      <c r="EO17" s="425" t="e">
        <v>#DIV/0!</v>
      </c>
      <c r="EP17" s="452">
        <v>0</v>
      </c>
      <c r="EQ17" s="490">
        <v>0</v>
      </c>
      <c r="ER17" s="425" t="e">
        <v>#DIV/0!</v>
      </c>
      <c r="ES17" s="452">
        <v>0</v>
      </c>
      <c r="ET17" s="490">
        <v>0</v>
      </c>
      <c r="EU17" s="425" t="e">
        <v>#DIV/0!</v>
      </c>
      <c r="EV17" s="452">
        <v>0</v>
      </c>
      <c r="EW17" s="490">
        <v>0</v>
      </c>
      <c r="EX17" s="425" t="e">
        <v>#DIV/0!</v>
      </c>
      <c r="EY17" s="452">
        <v>0</v>
      </c>
      <c r="EZ17" s="490">
        <v>0</v>
      </c>
      <c r="FA17" s="425" t="e">
        <v>#DIV/0!</v>
      </c>
      <c r="FB17" s="452">
        <v>0</v>
      </c>
      <c r="FC17" s="490">
        <v>0</v>
      </c>
      <c r="FD17" s="425" t="e">
        <v>#DIV/0!</v>
      </c>
      <c r="FE17" s="452">
        <v>0</v>
      </c>
      <c r="FF17" s="490">
        <v>0</v>
      </c>
      <c r="FG17" s="425" t="e">
        <v>#DIV/0!</v>
      </c>
      <c r="FH17" s="452">
        <v>0</v>
      </c>
      <c r="FI17" s="490">
        <v>0</v>
      </c>
      <c r="FJ17" s="425" t="e">
        <v>#DIV/0!</v>
      </c>
      <c r="FK17" s="452">
        <v>0</v>
      </c>
      <c r="FL17" s="490">
        <v>0</v>
      </c>
      <c r="FM17" s="425" t="e">
        <v>#DIV/0!</v>
      </c>
      <c r="FN17" s="452">
        <v>0</v>
      </c>
      <c r="FO17" s="490">
        <v>0</v>
      </c>
      <c r="FP17" s="425" t="e">
        <v>#DIV/0!</v>
      </c>
      <c r="FQ17" s="452">
        <v>0</v>
      </c>
      <c r="FR17" s="490">
        <v>0</v>
      </c>
      <c r="FS17" s="425" t="e">
        <v>#DIV/0!</v>
      </c>
      <c r="FT17" s="452">
        <v>0</v>
      </c>
      <c r="FU17" s="490">
        <v>0</v>
      </c>
      <c r="FV17" s="425" t="e">
        <v>#DIV/0!</v>
      </c>
      <c r="FW17" s="452">
        <v>0</v>
      </c>
      <c r="FX17" s="490">
        <v>0</v>
      </c>
      <c r="FY17" s="425" t="e">
        <v>#DIV/0!</v>
      </c>
      <c r="FZ17" s="452">
        <v>0</v>
      </c>
      <c r="GA17" s="490">
        <v>0</v>
      </c>
      <c r="GB17" s="425" t="e">
        <v>#DIV/0!</v>
      </c>
      <c r="GC17" s="452">
        <v>0</v>
      </c>
      <c r="GD17" s="490">
        <v>0</v>
      </c>
      <c r="GE17" s="425" t="e">
        <v>#DIV/0!</v>
      </c>
      <c r="GF17" s="452">
        <v>0</v>
      </c>
      <c r="GG17" s="490">
        <v>0</v>
      </c>
      <c r="GH17" s="425" t="e">
        <v>#DIV/0!</v>
      </c>
      <c r="GI17" s="452">
        <v>0</v>
      </c>
      <c r="GJ17" s="490">
        <v>0</v>
      </c>
      <c r="GK17" s="425" t="e">
        <v>#DIV/0!</v>
      </c>
      <c r="GL17" s="452">
        <v>0</v>
      </c>
      <c r="GM17" s="490">
        <v>0</v>
      </c>
      <c r="GN17" s="425" t="e">
        <v>#DIV/0!</v>
      </c>
      <c r="GO17" s="452">
        <v>0</v>
      </c>
      <c r="GP17" s="451">
        <v>0</v>
      </c>
      <c r="GQ17" s="425" t="e">
        <v>#DIV/0!</v>
      </c>
      <c r="GR17" s="452">
        <v>0</v>
      </c>
      <c r="GS17" s="451">
        <v>0</v>
      </c>
      <c r="GT17" s="425" t="e">
        <v>#DIV/0!</v>
      </c>
      <c r="GU17" s="452">
        <v>0</v>
      </c>
      <c r="GV17" s="451">
        <v>0</v>
      </c>
      <c r="GW17" s="425" t="e">
        <v>#DIV/0!</v>
      </c>
      <c r="GX17" s="452">
        <v>0</v>
      </c>
      <c r="GY17" s="451">
        <v>0</v>
      </c>
      <c r="GZ17" s="425" t="e">
        <v>#DIV/0!</v>
      </c>
      <c r="HA17" s="452">
        <v>0</v>
      </c>
      <c r="HB17" s="451">
        <v>0</v>
      </c>
      <c r="HC17" s="425" t="e">
        <v>#DIV/0!</v>
      </c>
      <c r="HD17" s="452">
        <v>0</v>
      </c>
      <c r="HE17" s="451">
        <v>0</v>
      </c>
      <c r="HF17" s="425" t="e">
        <v>#DIV/0!</v>
      </c>
    </row>
    <row r="18" spans="1:214" ht="7" hidden="1" customHeight="1" x14ac:dyDescent="0.3">
      <c r="A18" s="434"/>
      <c r="Q18" s="501"/>
      <c r="R18" s="501"/>
      <c r="S18" s="432">
        <v>0</v>
      </c>
      <c r="T18" s="500"/>
      <c r="U18" s="500"/>
      <c r="V18" s="428">
        <v>0</v>
      </c>
      <c r="W18" s="500"/>
      <c r="X18" s="500"/>
      <c r="Y18" s="428">
        <v>0</v>
      </c>
      <c r="Z18" s="500"/>
      <c r="AA18" s="500"/>
      <c r="AB18" s="428">
        <v>0</v>
      </c>
      <c r="AC18" s="500"/>
      <c r="AD18" s="500"/>
      <c r="AE18" s="428">
        <v>0</v>
      </c>
      <c r="AF18" s="500"/>
      <c r="AG18" s="500"/>
      <c r="AH18" s="428">
        <v>0</v>
      </c>
      <c r="AI18" s="500"/>
      <c r="AJ18" s="500"/>
      <c r="AK18" s="428">
        <v>0</v>
      </c>
      <c r="AL18" s="464"/>
      <c r="AM18" s="30"/>
      <c r="AN18" s="432" t="e">
        <v>#DIV/0!</v>
      </c>
      <c r="AO18" s="496"/>
      <c r="AP18" s="495"/>
      <c r="AQ18" s="432" t="e">
        <v>#DIV/0!</v>
      </c>
      <c r="AR18" s="500"/>
      <c r="AS18" s="500"/>
      <c r="AT18" s="428">
        <v>0</v>
      </c>
      <c r="AU18" s="499"/>
      <c r="AV18" s="445"/>
      <c r="AW18" s="425">
        <v>0</v>
      </c>
      <c r="AX18" s="499"/>
      <c r="AY18" s="445"/>
      <c r="AZ18" s="425">
        <v>0</v>
      </c>
      <c r="BA18" s="499"/>
      <c r="BB18" s="445"/>
      <c r="BC18" s="425">
        <v>0</v>
      </c>
      <c r="BD18" s="499"/>
      <c r="BE18" s="499"/>
      <c r="BF18" s="425">
        <v>0</v>
      </c>
      <c r="BG18" s="499"/>
      <c r="BH18" s="499"/>
      <c r="BI18" s="425">
        <v>0</v>
      </c>
      <c r="BJ18" s="499"/>
      <c r="BK18" s="499"/>
      <c r="BL18" s="425">
        <v>0</v>
      </c>
      <c r="BM18" s="499"/>
      <c r="BN18" s="499"/>
      <c r="BO18" s="425">
        <v>0</v>
      </c>
      <c r="BP18" s="499"/>
      <c r="BQ18" s="499"/>
      <c r="BR18" s="425">
        <v>0</v>
      </c>
      <c r="BS18" s="499"/>
      <c r="BT18" s="499"/>
      <c r="BU18" s="425">
        <v>0</v>
      </c>
      <c r="BV18" s="499"/>
      <c r="BW18" s="499"/>
      <c r="BX18" s="425">
        <v>0</v>
      </c>
      <c r="BY18" s="452">
        <v>0</v>
      </c>
      <c r="BZ18" s="490">
        <v>0</v>
      </c>
      <c r="CA18" s="425">
        <v>0</v>
      </c>
      <c r="CB18" s="452">
        <v>0</v>
      </c>
      <c r="CC18" s="490">
        <v>0</v>
      </c>
      <c r="CD18" s="425">
        <v>0</v>
      </c>
      <c r="CE18" s="452">
        <v>0</v>
      </c>
      <c r="CF18" s="490">
        <v>0</v>
      </c>
      <c r="CG18" s="425">
        <v>0</v>
      </c>
      <c r="CH18" s="452">
        <v>0</v>
      </c>
      <c r="CI18" s="490">
        <v>0</v>
      </c>
      <c r="CJ18" s="425">
        <v>0</v>
      </c>
      <c r="CK18" s="452">
        <v>0</v>
      </c>
      <c r="CL18" s="490">
        <v>0</v>
      </c>
      <c r="CM18" s="425">
        <v>0</v>
      </c>
      <c r="CN18" s="452">
        <v>0</v>
      </c>
      <c r="CO18" s="490">
        <v>0</v>
      </c>
      <c r="CP18" s="425">
        <v>0</v>
      </c>
      <c r="CQ18" s="452">
        <v>0</v>
      </c>
      <c r="CR18" s="490">
        <v>0</v>
      </c>
      <c r="CS18" s="425">
        <v>0</v>
      </c>
      <c r="CT18" s="452">
        <v>0</v>
      </c>
      <c r="CU18" s="490">
        <v>0</v>
      </c>
      <c r="CV18" s="425">
        <v>0</v>
      </c>
      <c r="CW18" s="452">
        <v>0</v>
      </c>
      <c r="CX18" s="490">
        <v>0</v>
      </c>
      <c r="CY18" s="425">
        <v>0</v>
      </c>
      <c r="CZ18" s="452">
        <v>0</v>
      </c>
      <c r="DA18" s="490">
        <v>0</v>
      </c>
      <c r="DB18" s="425">
        <v>0</v>
      </c>
      <c r="DC18" s="452">
        <v>0</v>
      </c>
      <c r="DD18" s="490">
        <v>0</v>
      </c>
      <c r="DE18" s="425">
        <v>0</v>
      </c>
      <c r="DF18" s="452">
        <v>0</v>
      </c>
      <c r="DG18" s="490">
        <v>0</v>
      </c>
      <c r="DH18" s="425">
        <v>0</v>
      </c>
      <c r="DI18" s="452">
        <v>0</v>
      </c>
      <c r="DJ18" s="490">
        <v>0</v>
      </c>
      <c r="DK18" s="425">
        <v>0</v>
      </c>
      <c r="DL18" s="452">
        <v>0</v>
      </c>
      <c r="DM18" s="490">
        <v>0</v>
      </c>
      <c r="DN18" s="425">
        <v>0</v>
      </c>
      <c r="DO18" s="452">
        <v>0</v>
      </c>
      <c r="DP18" s="490">
        <v>0</v>
      </c>
      <c r="DQ18" s="425">
        <v>0</v>
      </c>
      <c r="DR18" s="452">
        <v>0</v>
      </c>
      <c r="DS18" s="490">
        <v>0</v>
      </c>
      <c r="DT18" s="425">
        <v>0</v>
      </c>
      <c r="DU18" s="452">
        <v>0</v>
      </c>
      <c r="DV18" s="490">
        <v>0</v>
      </c>
      <c r="DW18" s="425">
        <v>0</v>
      </c>
      <c r="DX18" s="452">
        <v>0</v>
      </c>
      <c r="DY18" s="490">
        <v>0</v>
      </c>
      <c r="DZ18" s="425">
        <v>0</v>
      </c>
      <c r="EA18" s="452">
        <v>0</v>
      </c>
      <c r="EB18" s="490">
        <v>0</v>
      </c>
      <c r="EC18" s="425">
        <v>0</v>
      </c>
      <c r="ED18" s="452">
        <v>0</v>
      </c>
      <c r="EE18" s="490">
        <v>0</v>
      </c>
      <c r="EF18" s="425">
        <v>0</v>
      </c>
      <c r="EG18" s="452">
        <v>0</v>
      </c>
      <c r="EH18" s="490">
        <v>0</v>
      </c>
      <c r="EI18" s="425">
        <v>0</v>
      </c>
      <c r="EJ18" s="452">
        <v>0</v>
      </c>
      <c r="EK18" s="490">
        <v>0</v>
      </c>
      <c r="EL18" s="425">
        <v>0</v>
      </c>
      <c r="EM18" s="452">
        <v>0</v>
      </c>
      <c r="EN18" s="490">
        <v>0</v>
      </c>
      <c r="EO18" s="425">
        <v>0</v>
      </c>
      <c r="EP18" s="452">
        <v>0</v>
      </c>
      <c r="EQ18" s="490">
        <v>0</v>
      </c>
      <c r="ER18" s="425">
        <v>0</v>
      </c>
      <c r="ES18" s="452">
        <v>0</v>
      </c>
      <c r="ET18" s="490">
        <v>0</v>
      </c>
      <c r="EU18" s="425">
        <v>0</v>
      </c>
      <c r="EV18" s="452">
        <v>0</v>
      </c>
      <c r="EW18" s="490">
        <v>0</v>
      </c>
      <c r="EX18" s="425">
        <v>0</v>
      </c>
      <c r="EY18" s="452">
        <v>0</v>
      </c>
      <c r="EZ18" s="490">
        <v>0</v>
      </c>
      <c r="FA18" s="425">
        <v>0</v>
      </c>
      <c r="FB18" s="452">
        <v>0</v>
      </c>
      <c r="FC18" s="490">
        <v>0</v>
      </c>
      <c r="FD18" s="425">
        <v>0</v>
      </c>
      <c r="FE18" s="452">
        <v>0</v>
      </c>
      <c r="FF18" s="490">
        <v>0</v>
      </c>
      <c r="FG18" s="425">
        <v>0</v>
      </c>
      <c r="FH18" s="452">
        <v>0</v>
      </c>
      <c r="FI18" s="490">
        <v>0</v>
      </c>
      <c r="FJ18" s="425">
        <v>0</v>
      </c>
      <c r="FK18" s="452">
        <v>0</v>
      </c>
      <c r="FL18" s="490">
        <v>0</v>
      </c>
      <c r="FM18" s="425">
        <v>0</v>
      </c>
      <c r="FN18" s="452">
        <v>0</v>
      </c>
      <c r="FO18" s="490">
        <v>0</v>
      </c>
      <c r="FP18" s="425">
        <v>0</v>
      </c>
      <c r="FQ18" s="452">
        <v>0</v>
      </c>
      <c r="FR18" s="490">
        <v>0</v>
      </c>
      <c r="FS18" s="425">
        <v>0</v>
      </c>
      <c r="FT18" s="452">
        <v>0</v>
      </c>
      <c r="FU18" s="490">
        <v>0</v>
      </c>
      <c r="FV18" s="425" t="e">
        <v>#DIV/0!</v>
      </c>
      <c r="FW18" s="452">
        <v>0</v>
      </c>
      <c r="FX18" s="490">
        <v>0</v>
      </c>
      <c r="FY18" s="425" t="e">
        <v>#DIV/0!</v>
      </c>
      <c r="FZ18" s="452">
        <v>0</v>
      </c>
      <c r="GA18" s="490">
        <v>0</v>
      </c>
      <c r="GB18" s="425" t="e">
        <v>#DIV/0!</v>
      </c>
      <c r="GC18" s="452">
        <v>0</v>
      </c>
      <c r="GD18" s="490">
        <v>0</v>
      </c>
      <c r="GE18" s="425" t="e">
        <v>#DIV/0!</v>
      </c>
      <c r="GF18" s="452">
        <v>0</v>
      </c>
      <c r="GG18" s="490">
        <v>0</v>
      </c>
      <c r="GH18" s="425" t="e">
        <v>#DIV/0!</v>
      </c>
      <c r="GI18" s="452">
        <v>0</v>
      </c>
      <c r="GJ18" s="490">
        <v>0</v>
      </c>
      <c r="GK18" s="425" t="e">
        <v>#DIV/0!</v>
      </c>
      <c r="GL18" s="452">
        <v>0</v>
      </c>
      <c r="GM18" s="490">
        <v>0</v>
      </c>
      <c r="GN18" s="425" t="e">
        <v>#DIV/0!</v>
      </c>
      <c r="GO18" s="452">
        <v>0</v>
      </c>
      <c r="GP18" s="451">
        <v>0</v>
      </c>
      <c r="GQ18" s="425" t="e">
        <v>#DIV/0!</v>
      </c>
      <c r="GR18" s="452">
        <v>0</v>
      </c>
      <c r="GS18" s="451">
        <v>0</v>
      </c>
      <c r="GT18" s="425" t="e">
        <v>#DIV/0!</v>
      </c>
      <c r="GU18" s="452">
        <v>0</v>
      </c>
      <c r="GV18" s="451">
        <v>0</v>
      </c>
      <c r="GW18" s="425" t="e">
        <v>#DIV/0!</v>
      </c>
      <c r="GX18" s="452">
        <v>0</v>
      </c>
      <c r="GY18" s="451">
        <v>0</v>
      </c>
      <c r="GZ18" s="425" t="e">
        <v>#DIV/0!</v>
      </c>
      <c r="HA18" s="452">
        <v>0</v>
      </c>
      <c r="HB18" s="451">
        <v>0</v>
      </c>
      <c r="HC18" s="425" t="e">
        <v>#DIV/0!</v>
      </c>
      <c r="HD18" s="452">
        <v>0</v>
      </c>
      <c r="HE18" s="451">
        <v>0</v>
      </c>
      <c r="HF18" s="425" t="e">
        <v>#DIV/0!</v>
      </c>
    </row>
    <row r="19" spans="1:214" ht="17.399999999999999" hidden="1" customHeight="1" x14ac:dyDescent="0.3">
      <c r="A19" s="461" t="s">
        <v>517</v>
      </c>
      <c r="B19" s="498" t="s">
        <v>368</v>
      </c>
      <c r="C19" s="459">
        <v>600000</v>
      </c>
      <c r="D19" s="458">
        <v>10.674276239594803</v>
      </c>
      <c r="E19" s="498" t="s">
        <v>368</v>
      </c>
      <c r="F19" s="459">
        <v>600000</v>
      </c>
      <c r="G19" s="458">
        <v>10.219224507335445</v>
      </c>
      <c r="H19" s="498" t="s">
        <v>368</v>
      </c>
      <c r="I19" s="459">
        <v>600000</v>
      </c>
      <c r="J19" s="458">
        <v>10.458383998393591</v>
      </c>
      <c r="K19" s="498" t="s">
        <v>368</v>
      </c>
      <c r="L19" s="459">
        <v>0</v>
      </c>
      <c r="M19" s="458">
        <v>0</v>
      </c>
      <c r="N19" s="498" t="s">
        <v>368</v>
      </c>
      <c r="O19" s="459">
        <v>0</v>
      </c>
      <c r="P19" s="458">
        <v>0</v>
      </c>
      <c r="Q19" s="497">
        <v>0</v>
      </c>
      <c r="R19" s="456">
        <v>0</v>
      </c>
      <c r="S19" s="432">
        <v>0</v>
      </c>
      <c r="T19" s="497">
        <v>0</v>
      </c>
      <c r="U19" s="456">
        <v>0</v>
      </c>
      <c r="V19" s="432">
        <v>0</v>
      </c>
      <c r="W19" s="497">
        <v>0</v>
      </c>
      <c r="X19" s="456">
        <v>0</v>
      </c>
      <c r="Y19" s="432">
        <v>0</v>
      </c>
      <c r="Z19" s="497">
        <v>0</v>
      </c>
      <c r="AA19" s="456">
        <v>0</v>
      </c>
      <c r="AB19" s="432">
        <v>0</v>
      </c>
      <c r="AC19" s="494">
        <v>0</v>
      </c>
      <c r="AD19" s="456">
        <v>0</v>
      </c>
      <c r="AE19" s="432">
        <v>0</v>
      </c>
      <c r="AF19" s="494">
        <v>0</v>
      </c>
      <c r="AG19" s="456">
        <v>0</v>
      </c>
      <c r="AH19" s="432">
        <v>0</v>
      </c>
      <c r="AI19" s="494">
        <v>0</v>
      </c>
      <c r="AJ19" s="456">
        <v>0</v>
      </c>
      <c r="AK19" s="432">
        <v>0</v>
      </c>
      <c r="AL19" s="464">
        <v>0</v>
      </c>
      <c r="AM19" s="30">
        <v>0</v>
      </c>
      <c r="AN19" s="432">
        <v>0</v>
      </c>
      <c r="AO19" s="496">
        <v>0</v>
      </c>
      <c r="AP19" s="495">
        <v>0</v>
      </c>
      <c r="AQ19" s="432">
        <v>0</v>
      </c>
      <c r="AR19" s="494">
        <v>0</v>
      </c>
      <c r="AS19" s="456">
        <v>0</v>
      </c>
      <c r="AT19" s="432">
        <v>0</v>
      </c>
      <c r="AU19" s="493">
        <v>0</v>
      </c>
      <c r="AV19" s="492">
        <v>0</v>
      </c>
      <c r="AW19" s="450">
        <v>0</v>
      </c>
      <c r="AX19" s="493">
        <v>0</v>
      </c>
      <c r="AY19" s="492">
        <v>0</v>
      </c>
      <c r="AZ19" s="450">
        <v>0</v>
      </c>
      <c r="BA19" s="493">
        <v>0</v>
      </c>
      <c r="BB19" s="492">
        <v>0</v>
      </c>
      <c r="BC19" s="450">
        <v>0</v>
      </c>
      <c r="BD19" s="491">
        <v>0</v>
      </c>
      <c r="BE19" s="451">
        <v>0</v>
      </c>
      <c r="BF19" s="450">
        <v>0</v>
      </c>
      <c r="BG19" s="491">
        <v>0</v>
      </c>
      <c r="BH19" s="451">
        <v>0</v>
      </c>
      <c r="BI19" s="450">
        <v>0</v>
      </c>
      <c r="BJ19" s="491">
        <v>0</v>
      </c>
      <c r="BK19" s="451">
        <v>0</v>
      </c>
      <c r="BL19" s="450">
        <v>0</v>
      </c>
      <c r="BM19" s="491">
        <v>0</v>
      </c>
      <c r="BN19" s="451">
        <v>0</v>
      </c>
      <c r="BO19" s="450">
        <v>0</v>
      </c>
      <c r="BP19" s="491">
        <v>0</v>
      </c>
      <c r="BQ19" s="451">
        <v>0</v>
      </c>
      <c r="BR19" s="450">
        <v>0</v>
      </c>
      <c r="BS19" s="491">
        <v>0</v>
      </c>
      <c r="BT19" s="451">
        <v>0</v>
      </c>
      <c r="BU19" s="450">
        <v>0</v>
      </c>
      <c r="BV19" s="491">
        <v>0</v>
      </c>
      <c r="BW19" s="451">
        <v>0</v>
      </c>
      <c r="BX19" s="450">
        <v>0</v>
      </c>
      <c r="BY19" s="452">
        <v>0</v>
      </c>
      <c r="BZ19" s="490">
        <v>0</v>
      </c>
      <c r="CA19" s="450">
        <v>0</v>
      </c>
      <c r="CB19" s="452">
        <v>0</v>
      </c>
      <c r="CC19" s="490">
        <v>0</v>
      </c>
      <c r="CD19" s="450">
        <v>0</v>
      </c>
      <c r="CE19" s="452">
        <v>0</v>
      </c>
      <c r="CF19" s="490">
        <v>0</v>
      </c>
      <c r="CG19" s="450">
        <v>0</v>
      </c>
      <c r="CH19" s="452">
        <v>0</v>
      </c>
      <c r="CI19" s="490">
        <v>0</v>
      </c>
      <c r="CJ19" s="450">
        <v>0</v>
      </c>
      <c r="CK19" s="452">
        <v>0</v>
      </c>
      <c r="CL19" s="490">
        <v>0</v>
      </c>
      <c r="CM19" s="450">
        <v>0</v>
      </c>
      <c r="CN19" s="452">
        <v>0</v>
      </c>
      <c r="CO19" s="490">
        <v>0</v>
      </c>
      <c r="CP19" s="450">
        <v>0</v>
      </c>
      <c r="CQ19" s="452">
        <v>0</v>
      </c>
      <c r="CR19" s="490">
        <v>0</v>
      </c>
      <c r="CS19" s="450">
        <v>0</v>
      </c>
      <c r="CT19" s="452">
        <v>0</v>
      </c>
      <c r="CU19" s="490">
        <v>0</v>
      </c>
      <c r="CV19" s="450">
        <v>0</v>
      </c>
      <c r="CW19" s="452">
        <v>0</v>
      </c>
      <c r="CX19" s="490">
        <v>0</v>
      </c>
      <c r="CY19" s="450">
        <v>0</v>
      </c>
      <c r="CZ19" s="452">
        <v>0</v>
      </c>
      <c r="DA19" s="490">
        <v>0</v>
      </c>
      <c r="DB19" s="450">
        <v>0</v>
      </c>
      <c r="DC19" s="452">
        <v>0</v>
      </c>
      <c r="DD19" s="490">
        <v>0</v>
      </c>
      <c r="DE19" s="450">
        <v>0</v>
      </c>
      <c r="DF19" s="452">
        <v>0</v>
      </c>
      <c r="DG19" s="490">
        <v>0</v>
      </c>
      <c r="DH19" s="450">
        <v>0</v>
      </c>
      <c r="DI19" s="452">
        <v>0</v>
      </c>
      <c r="DJ19" s="490">
        <v>0</v>
      </c>
      <c r="DK19" s="450">
        <v>0</v>
      </c>
      <c r="DL19" s="452">
        <v>0</v>
      </c>
      <c r="DM19" s="490">
        <v>0</v>
      </c>
      <c r="DN19" s="450">
        <v>0</v>
      </c>
      <c r="DO19" s="452">
        <v>0</v>
      </c>
      <c r="DP19" s="490">
        <v>0</v>
      </c>
      <c r="DQ19" s="450">
        <v>0</v>
      </c>
      <c r="DR19" s="452">
        <v>0</v>
      </c>
      <c r="DS19" s="490">
        <v>0</v>
      </c>
      <c r="DT19" s="450">
        <v>0</v>
      </c>
      <c r="DU19" s="452">
        <v>0</v>
      </c>
      <c r="DV19" s="490">
        <v>0</v>
      </c>
      <c r="DW19" s="450">
        <v>0</v>
      </c>
      <c r="DX19" s="452">
        <v>0</v>
      </c>
      <c r="DY19" s="490">
        <v>0</v>
      </c>
      <c r="DZ19" s="450">
        <v>0</v>
      </c>
      <c r="EA19" s="452">
        <v>0</v>
      </c>
      <c r="EB19" s="490">
        <v>0</v>
      </c>
      <c r="EC19" s="450">
        <v>0</v>
      </c>
      <c r="ED19" s="452">
        <v>0</v>
      </c>
      <c r="EE19" s="490">
        <v>0</v>
      </c>
      <c r="EF19" s="450">
        <v>0</v>
      </c>
      <c r="EG19" s="452">
        <v>0</v>
      </c>
      <c r="EH19" s="490">
        <v>0</v>
      </c>
      <c r="EI19" s="450">
        <v>0</v>
      </c>
      <c r="EJ19" s="452">
        <v>0</v>
      </c>
      <c r="EK19" s="490">
        <v>0</v>
      </c>
      <c r="EL19" s="450">
        <v>0</v>
      </c>
      <c r="EM19" s="452">
        <v>0</v>
      </c>
      <c r="EN19" s="490">
        <v>0</v>
      </c>
      <c r="EO19" s="450">
        <v>0</v>
      </c>
      <c r="EP19" s="452">
        <v>0</v>
      </c>
      <c r="EQ19" s="490">
        <v>0</v>
      </c>
      <c r="ER19" s="450">
        <v>0</v>
      </c>
      <c r="ES19" s="452">
        <v>0</v>
      </c>
      <c r="ET19" s="490">
        <v>0</v>
      </c>
      <c r="EU19" s="450">
        <v>0</v>
      </c>
      <c r="EV19" s="452">
        <v>0</v>
      </c>
      <c r="EW19" s="490">
        <v>0</v>
      </c>
      <c r="EX19" s="450">
        <v>0</v>
      </c>
      <c r="EY19" s="452">
        <v>0</v>
      </c>
      <c r="EZ19" s="490">
        <v>0</v>
      </c>
      <c r="FA19" s="450">
        <v>0</v>
      </c>
      <c r="FB19" s="452">
        <v>0</v>
      </c>
      <c r="FC19" s="490">
        <v>0</v>
      </c>
      <c r="FD19" s="450">
        <v>0</v>
      </c>
      <c r="FE19" s="452">
        <v>0</v>
      </c>
      <c r="FF19" s="490">
        <v>0</v>
      </c>
      <c r="FG19" s="450">
        <v>0</v>
      </c>
      <c r="FH19" s="452">
        <v>0</v>
      </c>
      <c r="FI19" s="490">
        <v>0</v>
      </c>
      <c r="FJ19" s="450">
        <v>0</v>
      </c>
      <c r="FK19" s="452">
        <v>0</v>
      </c>
      <c r="FL19" s="490">
        <v>0</v>
      </c>
      <c r="FM19" s="450">
        <v>0</v>
      </c>
      <c r="FN19" s="452">
        <v>0</v>
      </c>
      <c r="FO19" s="490">
        <v>0</v>
      </c>
      <c r="FP19" s="450">
        <v>0</v>
      </c>
      <c r="FQ19" s="452">
        <v>0</v>
      </c>
      <c r="FR19" s="490">
        <v>0</v>
      </c>
      <c r="FS19" s="450">
        <v>0</v>
      </c>
      <c r="FT19" s="452">
        <v>0</v>
      </c>
      <c r="FU19" s="490">
        <v>0</v>
      </c>
      <c r="FV19" s="450">
        <v>0</v>
      </c>
      <c r="FW19" s="452">
        <v>0</v>
      </c>
      <c r="FX19" s="490">
        <v>0</v>
      </c>
      <c r="FY19" s="450">
        <v>0</v>
      </c>
      <c r="FZ19" s="452">
        <v>0</v>
      </c>
      <c r="GA19" s="490">
        <v>0</v>
      </c>
      <c r="GB19" s="450">
        <v>0</v>
      </c>
      <c r="GC19" s="452">
        <v>0</v>
      </c>
      <c r="GD19" s="490">
        <v>0</v>
      </c>
      <c r="GE19" s="450">
        <v>0</v>
      </c>
      <c r="GF19" s="452">
        <v>0</v>
      </c>
      <c r="GG19" s="490">
        <v>0</v>
      </c>
      <c r="GH19" s="450">
        <v>0</v>
      </c>
      <c r="GI19" s="452">
        <v>0</v>
      </c>
      <c r="GJ19" s="490">
        <v>0</v>
      </c>
      <c r="GK19" s="450">
        <v>0</v>
      </c>
      <c r="GL19" s="452">
        <v>0</v>
      </c>
      <c r="GM19" s="490">
        <v>0</v>
      </c>
      <c r="GN19" s="450">
        <v>0</v>
      </c>
      <c r="GO19" s="452">
        <v>0</v>
      </c>
      <c r="GP19" s="451">
        <v>0</v>
      </c>
      <c r="GQ19" s="450">
        <v>0</v>
      </c>
      <c r="GR19" s="452">
        <v>0</v>
      </c>
      <c r="GS19" s="451">
        <v>0</v>
      </c>
      <c r="GT19" s="450">
        <v>0</v>
      </c>
      <c r="GU19" s="452">
        <v>0</v>
      </c>
      <c r="GV19" s="451">
        <v>0</v>
      </c>
      <c r="GW19" s="450">
        <v>0</v>
      </c>
      <c r="GX19" s="452">
        <v>0</v>
      </c>
      <c r="GY19" s="451">
        <v>0</v>
      </c>
      <c r="GZ19" s="450">
        <v>0</v>
      </c>
      <c r="HA19" s="452">
        <v>0</v>
      </c>
      <c r="HB19" s="451">
        <v>0</v>
      </c>
      <c r="HC19" s="450">
        <v>0</v>
      </c>
      <c r="HD19" s="452">
        <v>0</v>
      </c>
      <c r="HE19" s="451">
        <v>0</v>
      </c>
      <c r="HF19" s="450">
        <v>0</v>
      </c>
    </row>
    <row r="20" spans="1:214" ht="17.399999999999999" customHeight="1" x14ac:dyDescent="0.3">
      <c r="A20" s="437" t="s">
        <v>447</v>
      </c>
      <c r="B20" s="489"/>
      <c r="C20" s="435">
        <v>5620990</v>
      </c>
      <c r="D20" s="434"/>
      <c r="E20" s="489"/>
      <c r="F20" s="435">
        <v>5871287</v>
      </c>
      <c r="G20" s="434"/>
      <c r="H20" s="489"/>
      <c r="I20" s="435">
        <v>5737024</v>
      </c>
      <c r="J20" s="434"/>
      <c r="K20" s="489"/>
      <c r="L20" s="435">
        <v>5452000</v>
      </c>
      <c r="M20" s="434"/>
      <c r="N20" s="489"/>
      <c r="O20" s="435">
        <v>5314000</v>
      </c>
      <c r="P20" s="434"/>
      <c r="Q20" s="433"/>
      <c r="R20" s="431">
        <v>5284</v>
      </c>
      <c r="S20" s="432"/>
      <c r="T20" s="430"/>
      <c r="U20" s="431">
        <v>5109</v>
      </c>
      <c r="V20" s="428"/>
      <c r="W20" s="430"/>
      <c r="X20" s="431">
        <v>6202</v>
      </c>
      <c r="Y20" s="428"/>
      <c r="Z20" s="430"/>
      <c r="AA20" s="431">
        <v>6142</v>
      </c>
      <c r="AB20" s="428"/>
      <c r="AC20" s="430"/>
      <c r="AD20" s="442">
        <v>5278</v>
      </c>
      <c r="AE20" s="444"/>
      <c r="AF20" s="443"/>
      <c r="AG20" s="442">
        <v>5005</v>
      </c>
      <c r="AH20" s="444"/>
      <c r="AI20" s="443"/>
      <c r="AJ20" s="442">
        <v>4774</v>
      </c>
      <c r="AK20" s="444"/>
      <c r="AL20" s="443"/>
      <c r="AM20" s="488">
        <v>5686</v>
      </c>
      <c r="AN20" s="428"/>
      <c r="AO20" s="430"/>
      <c r="AP20" s="488">
        <v>9000</v>
      </c>
      <c r="AQ20" s="428"/>
      <c r="AR20" s="430"/>
      <c r="AS20" s="431">
        <v>8955</v>
      </c>
      <c r="AT20" s="428"/>
      <c r="AU20" s="487"/>
      <c r="AV20" s="441">
        <v>8915</v>
      </c>
      <c r="AW20" s="425"/>
      <c r="AX20" s="487"/>
      <c r="AY20" s="441">
        <v>9185</v>
      </c>
      <c r="AZ20" s="425"/>
      <c r="BA20" s="487"/>
      <c r="BB20" s="441">
        <v>9084</v>
      </c>
      <c r="BC20" s="425"/>
      <c r="BD20" s="427"/>
      <c r="BE20" s="441">
        <v>9234</v>
      </c>
      <c r="BF20" s="425"/>
      <c r="BG20" s="427"/>
      <c r="BH20" s="441">
        <v>9298</v>
      </c>
      <c r="BI20" s="425"/>
      <c r="BJ20" s="427"/>
      <c r="BK20" s="441">
        <v>9140</v>
      </c>
      <c r="BL20" s="425"/>
      <c r="BM20" s="427"/>
      <c r="BN20" s="441">
        <v>8905</v>
      </c>
      <c r="BO20" s="425"/>
      <c r="BP20" s="427"/>
      <c r="BQ20" s="441">
        <v>9324</v>
      </c>
      <c r="BR20" s="425"/>
      <c r="BS20" s="427"/>
      <c r="BT20" s="441">
        <v>9275</v>
      </c>
      <c r="BU20" s="425"/>
      <c r="BV20" s="427"/>
      <c r="BW20" s="441">
        <v>9497</v>
      </c>
      <c r="BX20" s="425"/>
      <c r="BY20" s="427"/>
      <c r="BZ20" s="441">
        <v>9923</v>
      </c>
      <c r="CA20" s="425"/>
      <c r="CB20" s="427"/>
      <c r="CC20" s="441">
        <v>11215</v>
      </c>
      <c r="CD20" s="425"/>
      <c r="CE20" s="427"/>
      <c r="CF20" s="441">
        <v>11323</v>
      </c>
      <c r="CG20" s="425"/>
      <c r="CH20" s="427"/>
      <c r="CI20" s="441">
        <v>11341</v>
      </c>
      <c r="CJ20" s="425"/>
      <c r="CK20" s="427"/>
      <c r="CL20" s="441">
        <v>11418</v>
      </c>
      <c r="CM20" s="425"/>
      <c r="CN20" s="427"/>
      <c r="CO20" s="441">
        <v>11032</v>
      </c>
      <c r="CP20" s="425"/>
      <c r="CQ20" s="427"/>
      <c r="CR20" s="441">
        <v>11131.6</v>
      </c>
      <c r="CS20" s="425"/>
      <c r="CT20" s="427"/>
      <c r="CU20" s="441">
        <v>11318</v>
      </c>
      <c r="CV20" s="425"/>
      <c r="CW20" s="427"/>
      <c r="CX20" s="441">
        <v>11342</v>
      </c>
      <c r="CY20" s="425"/>
      <c r="CZ20" s="427"/>
      <c r="DA20" s="441">
        <v>10882</v>
      </c>
      <c r="DB20" s="425"/>
      <c r="DC20" s="427"/>
      <c r="DD20" s="441">
        <v>11626</v>
      </c>
      <c r="DE20" s="425"/>
      <c r="DF20" s="427"/>
      <c r="DG20" s="441">
        <v>11050</v>
      </c>
      <c r="DH20" s="425"/>
      <c r="DI20" s="427"/>
      <c r="DJ20" s="441">
        <v>11263</v>
      </c>
      <c r="DK20" s="425"/>
      <c r="DL20" s="427"/>
      <c r="DM20" s="441">
        <v>10818</v>
      </c>
      <c r="DN20" s="425"/>
      <c r="DO20" s="427"/>
      <c r="DP20" s="441">
        <v>11922</v>
      </c>
      <c r="DQ20" s="425"/>
      <c r="DR20" s="427"/>
      <c r="DS20" s="441">
        <v>12132</v>
      </c>
      <c r="DT20" s="425"/>
      <c r="DU20" s="427"/>
      <c r="DV20" s="441">
        <v>12170</v>
      </c>
      <c r="DW20" s="425"/>
      <c r="DX20" s="427"/>
      <c r="DY20" s="441">
        <v>11781</v>
      </c>
      <c r="DZ20" s="425"/>
      <c r="EA20" s="427"/>
      <c r="EB20" s="441">
        <v>12077</v>
      </c>
      <c r="EC20" s="425"/>
      <c r="ED20" s="427"/>
      <c r="EE20" s="441">
        <v>11849</v>
      </c>
      <c r="EF20" s="425"/>
      <c r="EG20" s="427"/>
      <c r="EH20" s="441">
        <v>16001</v>
      </c>
      <c r="EI20" s="425"/>
      <c r="EJ20" s="427"/>
      <c r="EK20" s="441">
        <v>19084.099999999999</v>
      </c>
      <c r="EL20" s="425"/>
      <c r="EM20" s="427"/>
      <c r="EN20" s="441">
        <v>20542</v>
      </c>
      <c r="EO20" s="425"/>
      <c r="EP20" s="427"/>
      <c r="EQ20" s="441">
        <v>21102</v>
      </c>
      <c r="ER20" s="425"/>
      <c r="ES20" s="427"/>
      <c r="ET20" s="441">
        <v>21971</v>
      </c>
      <c r="EU20" s="425"/>
      <c r="EV20" s="427"/>
      <c r="EW20" s="441">
        <v>22948</v>
      </c>
      <c r="EX20" s="425"/>
      <c r="EY20" s="427"/>
      <c r="EZ20" s="441">
        <v>25135</v>
      </c>
      <c r="FA20" s="425"/>
      <c r="FB20" s="427"/>
      <c r="FC20" s="441">
        <v>25316.7</v>
      </c>
      <c r="FD20" s="425"/>
      <c r="FE20" s="427"/>
      <c r="FF20" s="441">
        <v>26460.27</v>
      </c>
      <c r="FG20" s="425"/>
      <c r="FH20" s="427"/>
      <c r="FI20" s="441">
        <v>26914.89</v>
      </c>
      <c r="FJ20" s="425"/>
      <c r="FK20" s="427"/>
      <c r="FL20" s="441">
        <v>28693</v>
      </c>
      <c r="FM20" s="425"/>
      <c r="FN20" s="427"/>
      <c r="FO20" s="441">
        <v>28974</v>
      </c>
      <c r="FP20" s="425"/>
      <c r="FQ20" s="427"/>
      <c r="FR20" s="441">
        <v>30067</v>
      </c>
      <c r="FS20" s="425"/>
      <c r="FT20" s="427"/>
      <c r="FU20" s="441">
        <v>31244</v>
      </c>
      <c r="FV20" s="425"/>
      <c r="FW20" s="427"/>
      <c r="FX20" s="441">
        <v>31394</v>
      </c>
      <c r="FY20" s="425"/>
      <c r="FZ20" s="427"/>
      <c r="GA20" s="441">
        <v>29519.1</v>
      </c>
      <c r="GB20" s="425"/>
      <c r="GC20" s="427"/>
      <c r="GD20" s="441">
        <v>29486.400000000001</v>
      </c>
      <c r="GE20" s="425"/>
      <c r="GF20" s="427"/>
      <c r="GG20" s="441">
        <v>30381.5</v>
      </c>
      <c r="GH20" s="425"/>
      <c r="GI20" s="427"/>
      <c r="GJ20" s="441">
        <v>30728</v>
      </c>
      <c r="GK20" s="425"/>
      <c r="GL20" s="427"/>
      <c r="GM20" s="441">
        <v>28944.400000000001</v>
      </c>
      <c r="GN20" s="425"/>
      <c r="GO20" s="427"/>
      <c r="GP20" s="441">
        <v>29579.82</v>
      </c>
      <c r="GQ20" s="425"/>
      <c r="GR20" s="427"/>
      <c r="GS20" s="441">
        <v>27825</v>
      </c>
      <c r="GT20" s="425"/>
      <c r="GU20" s="427"/>
      <c r="GV20" s="441">
        <v>27426.94</v>
      </c>
      <c r="GW20" s="425"/>
      <c r="GX20" s="427"/>
      <c r="GY20" s="441">
        <v>27454.219000000001</v>
      </c>
      <c r="GZ20" s="425"/>
      <c r="HA20" s="427"/>
      <c r="HB20" s="441">
        <v>27813</v>
      </c>
      <c r="HC20" s="425"/>
      <c r="HD20" s="427"/>
      <c r="HE20" s="441">
        <v>27993</v>
      </c>
      <c r="HF20" s="425"/>
    </row>
    <row r="21" spans="1:214" ht="17.399999999999999" customHeight="1" x14ac:dyDescent="0.3">
      <c r="A21" s="485"/>
      <c r="B21" s="486"/>
      <c r="C21" s="7"/>
      <c r="D21" s="485"/>
      <c r="E21" s="486"/>
      <c r="F21" s="7"/>
      <c r="G21" s="485"/>
      <c r="H21" s="486"/>
      <c r="I21" s="7"/>
      <c r="J21" s="485"/>
      <c r="K21" s="486"/>
      <c r="L21" s="7"/>
      <c r="M21" s="485"/>
      <c r="N21" s="486"/>
      <c r="O21" s="7"/>
      <c r="P21" s="485"/>
      <c r="Q21" s="484"/>
      <c r="R21" s="483"/>
      <c r="S21" s="482"/>
      <c r="T21" s="481"/>
      <c r="U21" s="480"/>
      <c r="V21" s="479"/>
      <c r="W21" s="481"/>
      <c r="X21" s="480"/>
      <c r="Y21" s="479"/>
      <c r="Z21" s="481"/>
      <c r="AA21" s="480"/>
      <c r="AB21" s="479"/>
      <c r="AC21" s="481"/>
      <c r="AD21" s="480"/>
      <c r="AE21" s="479"/>
      <c r="AF21" s="481"/>
      <c r="AG21" s="480"/>
      <c r="AH21" s="479"/>
      <c r="AI21" s="481"/>
      <c r="AJ21" s="480"/>
      <c r="AK21" s="479"/>
      <c r="AL21" s="481"/>
      <c r="AM21" s="480"/>
      <c r="AN21" s="479"/>
      <c r="AO21" s="481"/>
      <c r="AP21" s="480"/>
      <c r="AQ21" s="479"/>
      <c r="AR21" s="481"/>
      <c r="AS21" s="480"/>
      <c r="AT21" s="479"/>
      <c r="AU21" s="478"/>
      <c r="AV21" s="476"/>
      <c r="AW21" s="475"/>
      <c r="AX21" s="478"/>
      <c r="AY21" s="476"/>
      <c r="AZ21" s="475"/>
      <c r="BA21" s="478"/>
      <c r="BB21" s="476"/>
      <c r="BC21" s="475"/>
      <c r="BD21" s="477"/>
      <c r="BE21" s="476"/>
      <c r="BF21" s="475"/>
      <c r="BG21" s="477"/>
      <c r="BH21" s="476"/>
      <c r="BI21" s="475"/>
      <c r="BJ21" s="477"/>
      <c r="BK21" s="476"/>
      <c r="BL21" s="475"/>
      <c r="BM21" s="477"/>
      <c r="BN21" s="476"/>
      <c r="BO21" s="475"/>
      <c r="BP21" s="477"/>
      <c r="BQ21" s="476"/>
      <c r="BR21" s="475"/>
      <c r="BS21" s="477"/>
      <c r="BT21" s="476"/>
      <c r="BU21" s="475"/>
      <c r="BV21" s="477"/>
      <c r="BW21" s="476"/>
      <c r="BX21" s="475"/>
      <c r="BY21" s="477"/>
      <c r="BZ21" s="476"/>
      <c r="CA21" s="475"/>
      <c r="CB21" s="477"/>
      <c r="CC21" s="476"/>
      <c r="CD21" s="475"/>
      <c r="CE21" s="477"/>
      <c r="CF21" s="476"/>
      <c r="CG21" s="475"/>
      <c r="CH21" s="477"/>
      <c r="CI21" s="476"/>
      <c r="CJ21" s="475"/>
      <c r="CK21" s="477"/>
      <c r="CL21" s="476"/>
      <c r="CM21" s="475"/>
      <c r="CN21" s="477"/>
      <c r="CO21" s="476"/>
      <c r="CP21" s="475"/>
      <c r="CQ21" s="477"/>
      <c r="CR21" s="476"/>
      <c r="CS21" s="475"/>
      <c r="CT21" s="477"/>
      <c r="CU21" s="476"/>
      <c r="CV21" s="475"/>
      <c r="CW21" s="477"/>
      <c r="CX21" s="476"/>
      <c r="CY21" s="475"/>
      <c r="CZ21" s="477"/>
      <c r="DA21" s="476"/>
      <c r="DB21" s="475"/>
      <c r="DC21" s="477"/>
      <c r="DD21" s="476"/>
      <c r="DE21" s="475"/>
      <c r="DF21" s="477"/>
      <c r="DG21" s="476"/>
      <c r="DH21" s="475"/>
      <c r="DI21" s="477"/>
      <c r="DJ21" s="476"/>
      <c r="DK21" s="475"/>
      <c r="DL21" s="477"/>
      <c r="DM21" s="476"/>
      <c r="DN21" s="475"/>
      <c r="DO21" s="477"/>
      <c r="DP21" s="476"/>
      <c r="DQ21" s="475"/>
      <c r="DR21" s="477"/>
      <c r="DS21" s="476"/>
      <c r="DT21" s="475"/>
      <c r="DU21" s="477"/>
      <c r="DV21" s="476"/>
      <c r="DW21" s="475"/>
      <c r="DX21" s="477"/>
      <c r="DY21" s="476"/>
      <c r="DZ21" s="475"/>
      <c r="EA21" s="477"/>
      <c r="EB21" s="476"/>
      <c r="EC21" s="475"/>
      <c r="ED21" s="477"/>
      <c r="EE21" s="476"/>
      <c r="EF21" s="475"/>
      <c r="EG21" s="477"/>
      <c r="EH21" s="476"/>
      <c r="EI21" s="475"/>
      <c r="EJ21" s="477"/>
      <c r="EK21" s="476"/>
      <c r="EL21" s="475"/>
      <c r="EM21" s="477"/>
      <c r="EN21" s="476"/>
      <c r="EO21" s="475"/>
      <c r="EP21" s="477"/>
      <c r="EQ21" s="476"/>
      <c r="ER21" s="475"/>
      <c r="ES21" s="477"/>
      <c r="ET21" s="476"/>
      <c r="EU21" s="475"/>
      <c r="EV21" s="477"/>
      <c r="EW21" s="476"/>
      <c r="EX21" s="475"/>
      <c r="EY21" s="477"/>
      <c r="EZ21" s="476"/>
      <c r="FA21" s="475"/>
      <c r="FB21" s="477"/>
      <c r="FC21" s="476"/>
      <c r="FD21" s="475"/>
      <c r="FE21" s="477"/>
      <c r="FF21" s="476"/>
      <c r="FG21" s="475"/>
      <c r="FH21" s="477"/>
      <c r="FI21" s="476"/>
      <c r="FJ21" s="475"/>
      <c r="FK21" s="477"/>
      <c r="FL21" s="476"/>
      <c r="FM21" s="475"/>
      <c r="FN21" s="477"/>
      <c r="FO21" s="476"/>
      <c r="FP21" s="475"/>
      <c r="FQ21" s="477"/>
      <c r="FR21" s="476"/>
      <c r="FS21" s="475"/>
      <c r="FT21" s="477"/>
      <c r="FU21" s="476"/>
      <c r="FV21" s="475"/>
      <c r="FW21" s="477"/>
      <c r="FX21" s="476"/>
      <c r="FY21" s="475"/>
      <c r="FZ21" s="477"/>
      <c r="GA21" s="476"/>
      <c r="GB21" s="475"/>
      <c r="GC21" s="477"/>
      <c r="GD21" s="476"/>
      <c r="GE21" s="475"/>
      <c r="GF21" s="477"/>
      <c r="GG21" s="476"/>
      <c r="GH21" s="475"/>
      <c r="GI21" s="477"/>
      <c r="GJ21" s="476"/>
      <c r="GK21" s="475"/>
      <c r="GL21" s="477"/>
      <c r="GM21" s="476"/>
      <c r="GN21" s="475"/>
      <c r="GO21" s="477"/>
      <c r="GP21" s="476"/>
      <c r="GQ21" s="475"/>
      <c r="GR21" s="477"/>
      <c r="GS21" s="476"/>
      <c r="GT21" s="475"/>
      <c r="GU21" s="477"/>
      <c r="GV21" s="476"/>
      <c r="GW21" s="475"/>
      <c r="GX21" s="477"/>
      <c r="GY21" s="476"/>
      <c r="GZ21" s="475"/>
      <c r="HA21" s="477"/>
      <c r="HB21" s="476"/>
      <c r="HC21" s="475"/>
      <c r="HD21" s="477"/>
      <c r="HE21" s="476"/>
      <c r="HF21" s="475"/>
    </row>
    <row r="22" spans="1:214" ht="13.5" x14ac:dyDescent="0.3">
      <c r="A22" s="473"/>
      <c r="B22" s="474"/>
      <c r="C22" s="60"/>
      <c r="D22" s="473"/>
      <c r="E22" s="474"/>
      <c r="F22" s="60"/>
      <c r="G22" s="473"/>
      <c r="H22" s="474"/>
      <c r="I22" s="60"/>
      <c r="J22" s="473"/>
      <c r="K22" s="474"/>
      <c r="L22" s="60"/>
      <c r="M22" s="473"/>
      <c r="N22" s="474"/>
      <c r="O22" s="60"/>
      <c r="P22" s="473"/>
      <c r="Q22" s="472"/>
      <c r="R22" s="471"/>
      <c r="S22" s="432"/>
      <c r="T22" s="470"/>
      <c r="U22" s="469"/>
      <c r="V22" s="428"/>
      <c r="W22" s="470"/>
      <c r="X22" s="469"/>
      <c r="Y22" s="428"/>
      <c r="Z22" s="470"/>
      <c r="AA22" s="469"/>
      <c r="AB22" s="428"/>
      <c r="AC22" s="470"/>
      <c r="AD22" s="469"/>
      <c r="AE22" s="428"/>
      <c r="AF22" s="470"/>
      <c r="AG22" s="469"/>
      <c r="AH22" s="428"/>
      <c r="AI22" s="470"/>
      <c r="AJ22" s="469"/>
      <c r="AK22" s="428"/>
      <c r="AL22" s="470"/>
      <c r="AM22" s="469"/>
      <c r="AN22" s="428"/>
      <c r="AO22" s="470"/>
      <c r="AP22" s="469"/>
      <c r="AQ22" s="428"/>
      <c r="AR22" s="470"/>
      <c r="AS22" s="469"/>
      <c r="AT22" s="428"/>
      <c r="AU22" s="468"/>
      <c r="AV22" s="467"/>
      <c r="AW22" s="425"/>
      <c r="AX22" s="468"/>
      <c r="AY22" s="467"/>
      <c r="AZ22" s="425"/>
      <c r="BA22" s="468"/>
      <c r="BB22" s="467"/>
      <c r="BC22" s="425"/>
      <c r="BD22" s="468"/>
      <c r="BE22" s="467"/>
      <c r="BF22" s="425"/>
      <c r="BG22" s="468"/>
      <c r="BH22" s="467"/>
      <c r="BI22" s="425"/>
      <c r="BJ22" s="468"/>
      <c r="BK22" s="467"/>
      <c r="BL22" s="425"/>
      <c r="BM22" s="468"/>
      <c r="BN22" s="467"/>
      <c r="BO22" s="425"/>
      <c r="BP22" s="468"/>
      <c r="BQ22" s="467"/>
      <c r="BR22" s="425"/>
      <c r="BS22" s="468"/>
      <c r="BT22" s="467"/>
      <c r="BU22" s="425"/>
      <c r="BV22" s="468"/>
      <c r="BW22" s="467"/>
      <c r="BX22" s="425"/>
      <c r="BY22" s="468"/>
      <c r="BZ22" s="467"/>
      <c r="CA22" s="425"/>
      <c r="CB22" s="468"/>
      <c r="CC22" s="467"/>
      <c r="CD22" s="425"/>
      <c r="CE22" s="468"/>
      <c r="CF22" s="467"/>
      <c r="CG22" s="425"/>
      <c r="CH22" s="468"/>
      <c r="CI22" s="467"/>
      <c r="CJ22" s="425"/>
      <c r="CK22" s="468"/>
      <c r="CL22" s="467"/>
      <c r="CM22" s="425"/>
      <c r="CN22" s="468"/>
      <c r="CO22" s="467"/>
      <c r="CP22" s="425"/>
      <c r="CQ22" s="468"/>
      <c r="CR22" s="467"/>
      <c r="CS22" s="425"/>
      <c r="CT22" s="468"/>
      <c r="CU22" s="467"/>
      <c r="CV22" s="425"/>
      <c r="CW22" s="468"/>
      <c r="CX22" s="467"/>
      <c r="CY22" s="425"/>
      <c r="CZ22" s="468"/>
      <c r="DA22" s="467"/>
      <c r="DB22" s="425"/>
      <c r="DC22" s="468"/>
      <c r="DD22" s="467"/>
      <c r="DE22" s="425"/>
      <c r="DF22" s="468"/>
      <c r="DG22" s="467"/>
      <c r="DH22" s="425"/>
      <c r="DI22" s="468"/>
      <c r="DJ22" s="467"/>
      <c r="DK22" s="425"/>
      <c r="DL22" s="468"/>
      <c r="DM22" s="467"/>
      <c r="DN22" s="425"/>
      <c r="DO22" s="468"/>
      <c r="DP22" s="467"/>
      <c r="DQ22" s="425"/>
      <c r="DR22" s="468"/>
      <c r="DS22" s="467"/>
      <c r="DT22" s="425"/>
      <c r="DU22" s="468"/>
      <c r="DV22" s="467"/>
      <c r="DW22" s="425"/>
      <c r="DX22" s="468"/>
      <c r="DY22" s="467"/>
      <c r="DZ22" s="425"/>
      <c r="EA22" s="468"/>
      <c r="EB22" s="467"/>
      <c r="EC22" s="425"/>
      <c r="ED22" s="468"/>
      <c r="EE22" s="467"/>
      <c r="EF22" s="425"/>
      <c r="EG22" s="468"/>
      <c r="EH22" s="467"/>
      <c r="EI22" s="425"/>
      <c r="EJ22" s="468"/>
      <c r="EK22" s="467"/>
      <c r="EL22" s="425"/>
      <c r="EM22" s="468"/>
      <c r="EN22" s="467"/>
      <c r="EO22" s="425"/>
      <c r="EP22" s="468"/>
      <c r="EQ22" s="467"/>
      <c r="ER22" s="425"/>
      <c r="ES22" s="468"/>
      <c r="ET22" s="467"/>
      <c r="EU22" s="425"/>
      <c r="EV22" s="468"/>
      <c r="EW22" s="467"/>
      <c r="EX22" s="425"/>
      <c r="EY22" s="468"/>
      <c r="EZ22" s="467"/>
      <c r="FA22" s="425"/>
      <c r="FB22" s="468"/>
      <c r="FC22" s="467"/>
      <c r="FD22" s="425"/>
      <c r="FE22" s="468"/>
      <c r="FF22" s="467"/>
      <c r="FG22" s="425"/>
      <c r="FH22" s="468"/>
      <c r="FI22" s="467"/>
      <c r="FJ22" s="425"/>
      <c r="FK22" s="468"/>
      <c r="FL22" s="467"/>
      <c r="FM22" s="425"/>
      <c r="FN22" s="468"/>
      <c r="FO22" s="467"/>
      <c r="FP22" s="425"/>
      <c r="FQ22" s="468"/>
      <c r="FR22" s="467"/>
      <c r="FS22" s="425"/>
      <c r="FT22" s="468"/>
      <c r="FU22" s="467"/>
      <c r="FV22" s="425"/>
      <c r="FW22" s="468"/>
      <c r="FX22" s="467"/>
      <c r="FY22" s="425"/>
      <c r="FZ22" s="468"/>
      <c r="GA22" s="467"/>
      <c r="GB22" s="425"/>
      <c r="GC22" s="468"/>
      <c r="GD22" s="467"/>
      <c r="GE22" s="425"/>
      <c r="GF22" s="468"/>
      <c r="GG22" s="467"/>
      <c r="GH22" s="425"/>
      <c r="GI22" s="468"/>
      <c r="GJ22" s="467"/>
      <c r="GK22" s="425"/>
      <c r="GL22" s="468"/>
      <c r="GM22" s="467"/>
      <c r="GN22" s="425"/>
      <c r="GO22" s="468"/>
      <c r="GP22" s="467"/>
      <c r="GQ22" s="425"/>
      <c r="GR22" s="468"/>
      <c r="GS22" s="467"/>
      <c r="GT22" s="425"/>
      <c r="GU22" s="468"/>
      <c r="GV22" s="467"/>
      <c r="GW22" s="425"/>
      <c r="GX22" s="468"/>
      <c r="GY22" s="467"/>
      <c r="GZ22" s="425"/>
      <c r="HA22" s="468"/>
      <c r="HB22" s="467"/>
      <c r="HC22" s="425"/>
      <c r="HD22" s="468"/>
      <c r="HE22" s="467"/>
      <c r="HF22" s="425"/>
    </row>
    <row r="23" spans="1:214" ht="16.5" customHeight="1" x14ac:dyDescent="0.3">
      <c r="A23" s="466" t="s">
        <v>142</v>
      </c>
      <c r="B23" s="464"/>
      <c r="C23" s="30"/>
      <c r="D23" s="463"/>
      <c r="E23" s="464"/>
      <c r="F23" s="30"/>
      <c r="G23" s="463"/>
      <c r="H23" s="464"/>
      <c r="I23" s="30"/>
      <c r="J23" s="463"/>
      <c r="K23" s="464"/>
      <c r="L23" s="30"/>
      <c r="M23" s="463"/>
      <c r="N23" s="464"/>
      <c r="O23" s="30"/>
      <c r="P23" s="463"/>
      <c r="Q23" s="433"/>
      <c r="R23" s="448"/>
      <c r="S23" s="432"/>
      <c r="T23" s="430"/>
      <c r="U23" s="447"/>
      <c r="V23" s="428"/>
      <c r="W23" s="430"/>
      <c r="X23" s="447"/>
      <c r="Y23" s="428"/>
      <c r="Z23" s="430"/>
      <c r="AA23" s="447"/>
      <c r="AB23" s="428"/>
      <c r="AC23" s="430"/>
      <c r="AD23" s="447"/>
      <c r="AE23" s="428"/>
      <c r="AF23" s="430"/>
      <c r="AG23" s="447"/>
      <c r="AH23" s="428"/>
      <c r="AI23" s="430"/>
      <c r="AJ23" s="447"/>
      <c r="AK23" s="428"/>
      <c r="AL23" s="430"/>
      <c r="AM23" s="447"/>
      <c r="AN23" s="428"/>
      <c r="AO23" s="430"/>
      <c r="AP23" s="447"/>
      <c r="AQ23" s="428"/>
      <c r="AR23" s="430"/>
      <c r="AS23" s="447"/>
      <c r="AT23" s="428"/>
      <c r="AU23" s="427"/>
      <c r="AV23" s="445"/>
      <c r="AW23" s="425"/>
      <c r="AX23" s="427"/>
      <c r="AY23" s="445"/>
      <c r="AZ23" s="425"/>
      <c r="BA23" s="427"/>
      <c r="BB23" s="445"/>
      <c r="BC23" s="425"/>
      <c r="BD23" s="427"/>
      <c r="BE23" s="445"/>
      <c r="BF23" s="425"/>
      <c r="BG23" s="427"/>
      <c r="BH23" s="445"/>
      <c r="BI23" s="425"/>
      <c r="BJ23" s="427"/>
      <c r="BK23" s="445"/>
      <c r="BL23" s="425"/>
      <c r="BM23" s="427"/>
      <c r="BN23" s="445"/>
      <c r="BO23" s="425"/>
      <c r="BP23" s="427"/>
      <c r="BQ23" s="445"/>
      <c r="BR23" s="425"/>
      <c r="BS23" s="427"/>
      <c r="BT23" s="445"/>
      <c r="BU23" s="425"/>
      <c r="BV23" s="427"/>
      <c r="BW23" s="445"/>
      <c r="BX23" s="425"/>
      <c r="BY23" s="427"/>
      <c r="BZ23" s="445"/>
      <c r="CA23" s="425"/>
      <c r="CB23" s="427"/>
      <c r="CC23" s="445"/>
      <c r="CD23" s="425"/>
      <c r="CE23" s="427"/>
      <c r="CF23" s="445"/>
      <c r="CG23" s="425"/>
      <c r="CH23" s="427"/>
      <c r="CI23" s="445"/>
      <c r="CJ23" s="425"/>
      <c r="CK23" s="427"/>
      <c r="CL23" s="445"/>
      <c r="CM23" s="425"/>
      <c r="CN23" s="427"/>
      <c r="CO23" s="445"/>
      <c r="CP23" s="425"/>
      <c r="CQ23" s="427"/>
      <c r="CR23" s="445"/>
      <c r="CS23" s="425"/>
      <c r="CT23" s="427"/>
      <c r="CU23" s="445"/>
      <c r="CV23" s="425"/>
      <c r="CW23" s="427"/>
      <c r="CX23" s="445"/>
      <c r="CY23" s="425"/>
      <c r="CZ23" s="427"/>
      <c r="DA23" s="445"/>
      <c r="DB23" s="425"/>
      <c r="DC23" s="427"/>
      <c r="DD23" s="445"/>
      <c r="DE23" s="425"/>
      <c r="DF23" s="427"/>
      <c r="DG23" s="445"/>
      <c r="DH23" s="425"/>
      <c r="DI23" s="427"/>
      <c r="DJ23" s="445"/>
      <c r="DK23" s="425"/>
      <c r="DL23" s="427"/>
      <c r="DM23" s="445"/>
      <c r="DN23" s="425"/>
      <c r="DO23" s="427"/>
      <c r="DP23" s="445"/>
      <c r="DQ23" s="425"/>
      <c r="DR23" s="427"/>
      <c r="DS23" s="445"/>
      <c r="DT23" s="425"/>
      <c r="DU23" s="427"/>
      <c r="DV23" s="445"/>
      <c r="DW23" s="425"/>
      <c r="DX23" s="427"/>
      <c r="DY23" s="445"/>
      <c r="DZ23" s="425"/>
      <c r="EA23" s="427"/>
      <c r="EB23" s="445"/>
      <c r="EC23" s="425"/>
      <c r="ED23" s="427"/>
      <c r="EE23" s="445"/>
      <c r="EF23" s="425"/>
      <c r="EG23" s="427"/>
      <c r="EH23" s="445"/>
      <c r="EI23" s="425"/>
      <c r="EJ23" s="427"/>
      <c r="EK23" s="445"/>
      <c r="EL23" s="425"/>
      <c r="EM23" s="427"/>
      <c r="EN23" s="445"/>
      <c r="EO23" s="425"/>
      <c r="EP23" s="427"/>
      <c r="EQ23" s="445"/>
      <c r="ER23" s="425"/>
      <c r="ES23" s="427"/>
      <c r="ET23" s="445"/>
      <c r="EU23" s="425"/>
      <c r="EV23" s="427"/>
      <c r="EW23" s="445"/>
      <c r="EX23" s="425"/>
      <c r="EY23" s="427"/>
      <c r="EZ23" s="445"/>
      <c r="FA23" s="425"/>
      <c r="FB23" s="427"/>
      <c r="FC23" s="445"/>
      <c r="FD23" s="425"/>
      <c r="FE23" s="427"/>
      <c r="FF23" s="445"/>
      <c r="FG23" s="425"/>
      <c r="FH23" s="427"/>
      <c r="FI23" s="445"/>
      <c r="FJ23" s="425"/>
      <c r="FK23" s="427"/>
      <c r="FL23" s="445"/>
      <c r="FM23" s="425"/>
      <c r="FN23" s="427"/>
      <c r="FO23" s="445"/>
      <c r="FP23" s="425"/>
      <c r="FQ23" s="427"/>
      <c r="FR23" s="445"/>
      <c r="FS23" s="425"/>
      <c r="FT23" s="427"/>
      <c r="FU23" s="445"/>
      <c r="FV23" s="425"/>
      <c r="FW23" s="427"/>
      <c r="FX23" s="445"/>
      <c r="FY23" s="425"/>
      <c r="FZ23" s="427"/>
      <c r="GA23" s="445"/>
      <c r="GB23" s="425"/>
      <c r="GC23" s="427"/>
      <c r="GD23" s="445"/>
      <c r="GE23" s="425"/>
      <c r="GF23" s="427"/>
      <c r="GG23" s="445"/>
      <c r="GH23" s="425"/>
      <c r="GI23" s="427"/>
      <c r="GJ23" s="445"/>
      <c r="GK23" s="425"/>
      <c r="GL23" s="427"/>
      <c r="GM23" s="445"/>
      <c r="GN23" s="425"/>
      <c r="GO23" s="427"/>
      <c r="GP23" s="445"/>
      <c r="GQ23" s="425"/>
      <c r="GR23" s="427"/>
      <c r="GS23" s="445"/>
      <c r="GT23" s="425"/>
      <c r="GU23" s="427"/>
      <c r="GV23" s="445"/>
      <c r="GW23" s="425"/>
      <c r="GX23" s="427"/>
      <c r="GY23" s="445"/>
      <c r="GZ23" s="425"/>
      <c r="HA23" s="427"/>
      <c r="HB23" s="445"/>
      <c r="HC23" s="425"/>
      <c r="HD23" s="427"/>
      <c r="HE23" s="445"/>
      <c r="HF23" s="425"/>
    </row>
    <row r="24" spans="1:214" ht="14" x14ac:dyDescent="0.3">
      <c r="A24" s="465"/>
      <c r="B24" s="464"/>
      <c r="C24" s="30"/>
      <c r="D24" s="463"/>
      <c r="E24" s="464"/>
      <c r="F24" s="30"/>
      <c r="G24" s="463"/>
      <c r="H24" s="464"/>
      <c r="I24" s="30"/>
      <c r="J24" s="463"/>
      <c r="K24" s="464"/>
      <c r="L24" s="30"/>
      <c r="M24" s="463"/>
      <c r="N24" s="464"/>
      <c r="O24" s="30"/>
      <c r="P24" s="463"/>
      <c r="Q24" s="433"/>
      <c r="R24" s="448"/>
      <c r="S24" s="432"/>
      <c r="T24" s="430"/>
      <c r="U24" s="447"/>
      <c r="V24" s="428"/>
      <c r="W24" s="430"/>
      <c r="X24" s="447"/>
      <c r="Y24" s="428"/>
      <c r="Z24" s="430"/>
      <c r="AA24" s="447"/>
      <c r="AB24" s="428"/>
      <c r="AC24" s="430"/>
      <c r="AD24" s="447"/>
      <c r="AE24" s="428"/>
      <c r="AF24" s="430"/>
      <c r="AG24" s="447"/>
      <c r="AH24" s="428"/>
      <c r="AI24" s="430"/>
      <c r="AJ24" s="447"/>
      <c r="AK24" s="428"/>
      <c r="AL24" s="430"/>
      <c r="AM24" s="447"/>
      <c r="AN24" s="428"/>
      <c r="AO24" s="430"/>
      <c r="AP24" s="447"/>
      <c r="AQ24" s="428"/>
      <c r="AR24" s="430"/>
      <c r="AS24" s="447"/>
      <c r="AT24" s="428"/>
      <c r="AU24" s="427"/>
      <c r="AV24" s="445"/>
      <c r="AW24" s="425"/>
      <c r="AX24" s="427"/>
      <c r="AY24" s="445"/>
      <c r="AZ24" s="425"/>
      <c r="BA24" s="427"/>
      <c r="BB24" s="445"/>
      <c r="BC24" s="425"/>
      <c r="BD24" s="427"/>
      <c r="BE24" s="445"/>
      <c r="BF24" s="425"/>
      <c r="BG24" s="427"/>
      <c r="BH24" s="445"/>
      <c r="BI24" s="425"/>
      <c r="BJ24" s="427"/>
      <c r="BK24" s="445"/>
      <c r="BL24" s="425"/>
      <c r="BM24" s="427"/>
      <c r="BN24" s="445"/>
      <c r="BO24" s="425"/>
      <c r="BP24" s="427"/>
      <c r="BQ24" s="445"/>
      <c r="BR24" s="425"/>
      <c r="BS24" s="427"/>
      <c r="BT24" s="445"/>
      <c r="BU24" s="425"/>
      <c r="BV24" s="427"/>
      <c r="BW24" s="445"/>
      <c r="BX24" s="425"/>
      <c r="BY24" s="427"/>
      <c r="BZ24" s="445"/>
      <c r="CA24" s="425"/>
      <c r="CB24" s="427"/>
      <c r="CC24" s="445"/>
      <c r="CD24" s="425"/>
      <c r="CE24" s="427"/>
      <c r="CF24" s="445"/>
      <c r="CG24" s="425"/>
      <c r="CH24" s="427"/>
      <c r="CI24" s="445"/>
      <c r="CJ24" s="425"/>
      <c r="CK24" s="427"/>
      <c r="CL24" s="445"/>
      <c r="CM24" s="425"/>
      <c r="CN24" s="427"/>
      <c r="CO24" s="445"/>
      <c r="CP24" s="425"/>
      <c r="CQ24" s="427"/>
      <c r="CR24" s="445"/>
      <c r="CS24" s="425"/>
      <c r="CT24" s="427"/>
      <c r="CU24" s="445"/>
      <c r="CV24" s="425"/>
      <c r="CW24" s="427"/>
      <c r="CX24" s="445"/>
      <c r="CY24" s="425"/>
      <c r="CZ24" s="427"/>
      <c r="DA24" s="445"/>
      <c r="DB24" s="425"/>
      <c r="DC24" s="427"/>
      <c r="DD24" s="445"/>
      <c r="DE24" s="425"/>
      <c r="DF24" s="427"/>
      <c r="DG24" s="445"/>
      <c r="DH24" s="425"/>
      <c r="DI24" s="427"/>
      <c r="DJ24" s="445"/>
      <c r="DK24" s="425"/>
      <c r="DL24" s="427"/>
      <c r="DM24" s="445"/>
      <c r="DN24" s="425"/>
      <c r="DO24" s="427"/>
      <c r="DP24" s="445"/>
      <c r="DQ24" s="425"/>
      <c r="DR24" s="427"/>
      <c r="DS24" s="445"/>
      <c r="DT24" s="425"/>
      <c r="DU24" s="427"/>
      <c r="DV24" s="445"/>
      <c r="DW24" s="425"/>
      <c r="DX24" s="427"/>
      <c r="DY24" s="445"/>
      <c r="DZ24" s="425"/>
      <c r="EA24" s="427"/>
      <c r="EB24" s="445"/>
      <c r="EC24" s="425"/>
      <c r="ED24" s="427"/>
      <c r="EE24" s="445"/>
      <c r="EF24" s="425"/>
      <c r="EG24" s="427"/>
      <c r="EH24" s="445"/>
      <c r="EI24" s="425"/>
      <c r="EJ24" s="427"/>
      <c r="EK24" s="445"/>
      <c r="EL24" s="425"/>
      <c r="EM24" s="427"/>
      <c r="EN24" s="445"/>
      <c r="EO24" s="425"/>
      <c r="EP24" s="427"/>
      <c r="EQ24" s="445"/>
      <c r="ER24" s="425"/>
      <c r="ES24" s="427"/>
      <c r="ET24" s="445"/>
      <c r="EU24" s="425"/>
      <c r="EV24" s="427"/>
      <c r="EW24" s="445"/>
      <c r="EX24" s="425"/>
      <c r="EY24" s="427"/>
      <c r="EZ24" s="445"/>
      <c r="FA24" s="425"/>
      <c r="FB24" s="427"/>
      <c r="FC24" s="445"/>
      <c r="FD24" s="425"/>
      <c r="FE24" s="427"/>
      <c r="FF24" s="445"/>
      <c r="FG24" s="425"/>
      <c r="FH24" s="427"/>
      <c r="FI24" s="445"/>
      <c r="FJ24" s="425"/>
      <c r="FK24" s="427"/>
      <c r="FL24" s="445"/>
      <c r="FM24" s="425"/>
      <c r="FN24" s="427"/>
      <c r="FO24" s="445"/>
      <c r="FP24" s="425"/>
      <c r="FQ24" s="427"/>
      <c r="FR24" s="445"/>
      <c r="FS24" s="425"/>
      <c r="FT24" s="427"/>
      <c r="FU24" s="445"/>
      <c r="FV24" s="425"/>
      <c r="FW24" s="427"/>
      <c r="FX24" s="445"/>
      <c r="FY24" s="425"/>
      <c r="FZ24" s="427"/>
      <c r="GA24" s="445"/>
      <c r="GB24" s="425"/>
      <c r="GC24" s="427"/>
      <c r="GD24" s="445"/>
      <c r="GE24" s="425"/>
      <c r="GF24" s="427"/>
      <c r="GG24" s="445"/>
      <c r="GH24" s="425"/>
      <c r="GI24" s="427"/>
      <c r="GJ24" s="445"/>
      <c r="GK24" s="425"/>
      <c r="GL24" s="427"/>
      <c r="GM24" s="445"/>
      <c r="GN24" s="425"/>
      <c r="GO24" s="427"/>
      <c r="GP24" s="445"/>
      <c r="GQ24" s="425"/>
      <c r="GR24" s="427"/>
      <c r="GS24" s="445"/>
      <c r="GT24" s="425"/>
      <c r="GU24" s="427"/>
      <c r="GV24" s="445"/>
      <c r="GW24" s="425"/>
      <c r="GX24" s="427"/>
      <c r="GY24" s="445"/>
      <c r="GZ24" s="425"/>
      <c r="HA24" s="427"/>
      <c r="HB24" s="445"/>
      <c r="HC24" s="425"/>
      <c r="HD24" s="427"/>
      <c r="HE24" s="445"/>
      <c r="HF24" s="425"/>
    </row>
    <row r="25" spans="1:214" s="449" customFormat="1" ht="17.399999999999999" hidden="1" customHeight="1" x14ac:dyDescent="0.3">
      <c r="A25" s="461" t="s">
        <v>490</v>
      </c>
      <c r="B25" s="460">
        <v>30247</v>
      </c>
      <c r="C25" s="459">
        <v>1121191</v>
      </c>
      <c r="D25" s="458">
        <v>44.820765469024771</v>
      </c>
      <c r="E25" s="460">
        <v>34718</v>
      </c>
      <c r="F25" s="459">
        <v>1201256</v>
      </c>
      <c r="G25" s="458">
        <v>47.248973016005372</v>
      </c>
      <c r="H25" s="460">
        <v>34718</v>
      </c>
      <c r="I25" s="459">
        <v>1183896</v>
      </c>
      <c r="J25" s="458">
        <v>47.325457056569682</v>
      </c>
      <c r="K25" s="460">
        <v>27300</v>
      </c>
      <c r="L25" s="459">
        <v>887000</v>
      </c>
      <c r="M25" s="458">
        <v>33.383515242754989</v>
      </c>
      <c r="N25" s="460">
        <v>27300</v>
      </c>
      <c r="O25" s="459">
        <v>862000</v>
      </c>
      <c r="P25" s="458">
        <v>32.577475434618293</v>
      </c>
      <c r="Q25" s="457">
        <v>52</v>
      </c>
      <c r="R25" s="456">
        <v>1674</v>
      </c>
      <c r="S25" s="432">
        <v>33.500100060036019</v>
      </c>
      <c r="T25" s="457">
        <v>52</v>
      </c>
      <c r="U25" s="456">
        <v>1697</v>
      </c>
      <c r="V25" s="432">
        <v>28.444518940663759</v>
      </c>
      <c r="W25" s="457">
        <v>21</v>
      </c>
      <c r="X25" s="456">
        <v>689</v>
      </c>
      <c r="Y25" s="432">
        <v>18.329342910348497</v>
      </c>
      <c r="Z25" s="457">
        <v>21</v>
      </c>
      <c r="AA25" s="456">
        <v>688</v>
      </c>
      <c r="AB25" s="432">
        <v>19.713467048710601</v>
      </c>
      <c r="AC25" s="457">
        <v>16</v>
      </c>
      <c r="AD25" s="456">
        <v>531</v>
      </c>
      <c r="AE25" s="432">
        <v>14.591920857378401</v>
      </c>
      <c r="AF25" s="457">
        <v>17.899999999999999</v>
      </c>
      <c r="AG25" s="456">
        <v>531</v>
      </c>
      <c r="AH25" s="432">
        <v>15.599294947121034</v>
      </c>
      <c r="AI25" s="457">
        <v>12</v>
      </c>
      <c r="AJ25" s="456">
        <v>357</v>
      </c>
      <c r="AK25" s="432">
        <v>12.036412677006068</v>
      </c>
      <c r="AL25" s="457">
        <v>10</v>
      </c>
      <c r="AM25" s="456">
        <v>292</v>
      </c>
      <c r="AN25" s="432">
        <v>10.552945428261655</v>
      </c>
      <c r="AO25" s="457">
        <v>6</v>
      </c>
      <c r="AP25" s="456">
        <v>182</v>
      </c>
      <c r="AQ25" s="432">
        <v>7.6988155668358722</v>
      </c>
      <c r="AR25" s="457">
        <v>6</v>
      </c>
      <c r="AS25" s="456">
        <v>181</v>
      </c>
      <c r="AT25" s="432">
        <v>7.6890399320305862</v>
      </c>
      <c r="AU25" s="452">
        <v>3.1</v>
      </c>
      <c r="AV25" s="451">
        <v>94</v>
      </c>
      <c r="AW25" s="450">
        <v>4.3782021425244526</v>
      </c>
      <c r="AX25" s="452">
        <v>3.1</v>
      </c>
      <c r="AY25" s="451">
        <v>95</v>
      </c>
      <c r="AZ25" s="450">
        <v>4.437178888369921</v>
      </c>
      <c r="BA25" s="452">
        <v>0</v>
      </c>
      <c r="BB25" s="451">
        <v>0</v>
      </c>
      <c r="BC25" s="450">
        <v>0</v>
      </c>
      <c r="BD25" s="452">
        <v>0</v>
      </c>
      <c r="BE25" s="451">
        <v>0</v>
      </c>
      <c r="BF25" s="450">
        <v>0</v>
      </c>
      <c r="BG25" s="452">
        <v>0</v>
      </c>
      <c r="BH25" s="451">
        <v>0</v>
      </c>
      <c r="BI25" s="450">
        <v>0</v>
      </c>
      <c r="BJ25" s="452">
        <v>0</v>
      </c>
      <c r="BK25" s="451">
        <v>0</v>
      </c>
      <c r="BL25" s="450">
        <v>0</v>
      </c>
      <c r="BM25" s="452">
        <v>0</v>
      </c>
      <c r="BN25" s="451">
        <v>0</v>
      </c>
      <c r="BO25" s="450">
        <v>0</v>
      </c>
      <c r="BP25" s="452">
        <v>0</v>
      </c>
      <c r="BQ25" s="451">
        <v>0</v>
      </c>
      <c r="BR25" s="450">
        <v>0</v>
      </c>
      <c r="BS25" s="452">
        <v>0</v>
      </c>
      <c r="BT25" s="451">
        <v>0</v>
      </c>
      <c r="BU25" s="450">
        <v>0</v>
      </c>
      <c r="BV25" s="452">
        <v>0</v>
      </c>
      <c r="BW25" s="451">
        <v>0</v>
      </c>
      <c r="BX25" s="450">
        <v>0</v>
      </c>
      <c r="BY25" s="452">
        <v>0</v>
      </c>
      <c r="BZ25" s="451">
        <v>0</v>
      </c>
      <c r="CA25" s="450">
        <v>0</v>
      </c>
      <c r="CB25" s="452">
        <v>0</v>
      </c>
      <c r="CC25" s="451">
        <v>0</v>
      </c>
      <c r="CD25" s="450">
        <v>0</v>
      </c>
      <c r="CE25" s="452">
        <v>0</v>
      </c>
      <c r="CF25" s="451">
        <v>0</v>
      </c>
      <c r="CG25" s="450">
        <v>0</v>
      </c>
      <c r="CH25" s="452">
        <v>0</v>
      </c>
      <c r="CI25" s="451">
        <v>0</v>
      </c>
      <c r="CJ25" s="450">
        <v>0</v>
      </c>
      <c r="CK25" s="452">
        <v>0</v>
      </c>
      <c r="CL25" s="451">
        <v>0</v>
      </c>
      <c r="CM25" s="450">
        <v>0</v>
      </c>
      <c r="CN25" s="452">
        <v>0</v>
      </c>
      <c r="CO25" s="451">
        <v>0</v>
      </c>
      <c r="CP25" s="450">
        <v>0</v>
      </c>
      <c r="CQ25" s="452">
        <v>0</v>
      </c>
      <c r="CR25" s="451">
        <v>0</v>
      </c>
      <c r="CS25" s="450">
        <v>0</v>
      </c>
      <c r="CT25" s="452">
        <v>0</v>
      </c>
      <c r="CU25" s="451">
        <v>0</v>
      </c>
      <c r="CV25" s="450">
        <v>0</v>
      </c>
      <c r="CW25" s="452">
        <v>0</v>
      </c>
      <c r="CX25" s="451">
        <v>0</v>
      </c>
      <c r="CY25" s="450">
        <v>0</v>
      </c>
      <c r="CZ25" s="452">
        <v>0</v>
      </c>
      <c r="DA25" s="451">
        <v>0</v>
      </c>
      <c r="DB25" s="450">
        <v>0</v>
      </c>
      <c r="DC25" s="452">
        <v>0</v>
      </c>
      <c r="DD25" s="451">
        <v>0</v>
      </c>
      <c r="DE25" s="450">
        <v>0</v>
      </c>
      <c r="DF25" s="452">
        <v>0</v>
      </c>
      <c r="DG25" s="451">
        <v>0</v>
      </c>
      <c r="DH25" s="450">
        <v>0</v>
      </c>
      <c r="DI25" s="452">
        <v>0</v>
      </c>
      <c r="DJ25" s="451">
        <v>0</v>
      </c>
      <c r="DK25" s="450">
        <v>0</v>
      </c>
      <c r="DL25" s="452">
        <v>0</v>
      </c>
      <c r="DM25" s="451">
        <v>0</v>
      </c>
      <c r="DN25" s="450">
        <v>0</v>
      </c>
      <c r="DO25" s="452">
        <v>0</v>
      </c>
      <c r="DP25" s="451">
        <v>0</v>
      </c>
      <c r="DQ25" s="450">
        <v>0</v>
      </c>
      <c r="DR25" s="452">
        <v>0</v>
      </c>
      <c r="DS25" s="451">
        <v>0</v>
      </c>
      <c r="DT25" s="450">
        <v>0</v>
      </c>
      <c r="DU25" s="452">
        <v>0</v>
      </c>
      <c r="DV25" s="451">
        <v>0</v>
      </c>
      <c r="DW25" s="450">
        <v>0</v>
      </c>
      <c r="DX25" s="452">
        <v>0</v>
      </c>
      <c r="DY25" s="451">
        <v>0</v>
      </c>
      <c r="DZ25" s="450">
        <v>0</v>
      </c>
      <c r="EA25" s="452">
        <v>0</v>
      </c>
      <c r="EB25" s="451">
        <v>0</v>
      </c>
      <c r="EC25" s="450">
        <v>0</v>
      </c>
      <c r="ED25" s="452">
        <v>0</v>
      </c>
      <c r="EE25" s="451">
        <v>0</v>
      </c>
      <c r="EF25" s="450">
        <v>0</v>
      </c>
      <c r="EG25" s="452">
        <v>0</v>
      </c>
      <c r="EH25" s="451">
        <v>0</v>
      </c>
      <c r="EI25" s="450">
        <v>0</v>
      </c>
      <c r="EJ25" s="452">
        <v>0</v>
      </c>
      <c r="EK25" s="451">
        <v>0</v>
      </c>
      <c r="EL25" s="450">
        <v>0</v>
      </c>
      <c r="EM25" s="452">
        <v>0</v>
      </c>
      <c r="EN25" s="451">
        <v>0</v>
      </c>
      <c r="EO25" s="450">
        <v>0</v>
      </c>
      <c r="EP25" s="452">
        <v>0</v>
      </c>
      <c r="EQ25" s="451">
        <v>0</v>
      </c>
      <c r="ER25" s="450">
        <v>0</v>
      </c>
      <c r="ES25" s="452">
        <v>0</v>
      </c>
      <c r="ET25" s="451">
        <v>0</v>
      </c>
      <c r="EU25" s="450">
        <v>0</v>
      </c>
      <c r="EV25" s="452">
        <v>0</v>
      </c>
      <c r="EW25" s="451">
        <v>0</v>
      </c>
      <c r="EX25" s="450">
        <v>0</v>
      </c>
      <c r="EY25" s="452">
        <v>0</v>
      </c>
      <c r="EZ25" s="451">
        <v>0</v>
      </c>
      <c r="FA25" s="450">
        <v>0</v>
      </c>
      <c r="FB25" s="452">
        <v>0</v>
      </c>
      <c r="FC25" s="451">
        <v>0</v>
      </c>
      <c r="FD25" s="450">
        <v>0</v>
      </c>
      <c r="FE25" s="452">
        <v>0</v>
      </c>
      <c r="FF25" s="451">
        <v>0</v>
      </c>
      <c r="FG25" s="450">
        <v>0</v>
      </c>
      <c r="FH25" s="452">
        <v>0</v>
      </c>
      <c r="FI25" s="451">
        <v>0</v>
      </c>
      <c r="FJ25" s="450">
        <v>0</v>
      </c>
      <c r="FK25" s="452">
        <v>0</v>
      </c>
      <c r="FL25" s="451">
        <v>0</v>
      </c>
      <c r="FM25" s="450">
        <v>0</v>
      </c>
      <c r="FN25" s="452">
        <v>0</v>
      </c>
      <c r="FO25" s="451">
        <v>0</v>
      </c>
      <c r="FP25" s="450">
        <v>0</v>
      </c>
      <c r="FQ25" s="452">
        <v>0</v>
      </c>
      <c r="FR25" s="451">
        <v>0</v>
      </c>
      <c r="FS25" s="450">
        <v>0</v>
      </c>
      <c r="FT25" s="452">
        <v>0</v>
      </c>
      <c r="FU25" s="451">
        <v>0</v>
      </c>
      <c r="FV25" s="450" t="e">
        <v>#DIV/0!</v>
      </c>
      <c r="FW25" s="452">
        <v>0</v>
      </c>
      <c r="FX25" s="451">
        <v>0</v>
      </c>
      <c r="FY25" s="450" t="e">
        <v>#DIV/0!</v>
      </c>
      <c r="FZ25" s="452">
        <v>0</v>
      </c>
      <c r="GA25" s="451">
        <v>0</v>
      </c>
      <c r="GB25" s="450" t="e">
        <v>#DIV/0!</v>
      </c>
      <c r="GC25" s="452">
        <v>0</v>
      </c>
      <c r="GD25" s="451">
        <v>0</v>
      </c>
      <c r="GE25" s="450" t="e">
        <v>#DIV/0!</v>
      </c>
      <c r="GF25" s="452">
        <v>0</v>
      </c>
      <c r="GG25" s="451">
        <v>0</v>
      </c>
      <c r="GH25" s="450" t="e">
        <v>#DIV/0!</v>
      </c>
      <c r="GI25" s="452">
        <v>0</v>
      </c>
      <c r="GJ25" s="451">
        <v>0</v>
      </c>
      <c r="GK25" s="450" t="e">
        <v>#DIV/0!</v>
      </c>
      <c r="GL25" s="452">
        <v>0</v>
      </c>
      <c r="GM25" s="451">
        <v>0</v>
      </c>
      <c r="GN25" s="450" t="e">
        <v>#DIV/0!</v>
      </c>
      <c r="GO25" s="452">
        <v>0</v>
      </c>
      <c r="GP25" s="451">
        <v>0</v>
      </c>
      <c r="GQ25" s="450" t="e">
        <v>#DIV/0!</v>
      </c>
      <c r="GR25" s="452">
        <v>0</v>
      </c>
      <c r="GS25" s="451">
        <v>0</v>
      </c>
      <c r="GT25" s="450" t="e">
        <v>#DIV/0!</v>
      </c>
      <c r="GU25" s="452">
        <v>0</v>
      </c>
      <c r="GV25" s="451">
        <v>0</v>
      </c>
      <c r="GW25" s="450" t="e">
        <v>#DIV/0!</v>
      </c>
      <c r="GX25" s="452">
        <v>0</v>
      </c>
      <c r="GY25" s="451">
        <v>0</v>
      </c>
      <c r="GZ25" s="450" t="e">
        <v>#DIV/0!</v>
      </c>
      <c r="HA25" s="452">
        <v>0</v>
      </c>
      <c r="HB25" s="451">
        <v>0</v>
      </c>
      <c r="HC25" s="450" t="e">
        <v>#DIV/0!</v>
      </c>
      <c r="HD25" s="452">
        <v>0</v>
      </c>
      <c r="HE25" s="451">
        <v>0</v>
      </c>
      <c r="HF25" s="450" t="e">
        <v>#DIV/0!</v>
      </c>
    </row>
    <row r="26" spans="1:214" s="449" customFormat="1" ht="17.399999999999999" customHeight="1" x14ac:dyDescent="0.3">
      <c r="A26" s="461" t="s">
        <v>487</v>
      </c>
      <c r="B26" s="460">
        <v>38007</v>
      </c>
      <c r="C26" s="459">
        <v>1380308</v>
      </c>
      <c r="D26" s="458">
        <v>55.179234530975229</v>
      </c>
      <c r="E26" s="460">
        <v>29267</v>
      </c>
      <c r="F26" s="459">
        <v>1341140</v>
      </c>
      <c r="G26" s="458">
        <v>52.751026983994635</v>
      </c>
      <c r="H26" s="460">
        <v>29101</v>
      </c>
      <c r="I26" s="459">
        <v>1317709</v>
      </c>
      <c r="J26" s="458">
        <v>52.674542943430311</v>
      </c>
      <c r="K26" s="460">
        <v>38000</v>
      </c>
      <c r="L26" s="459">
        <v>1770000</v>
      </c>
      <c r="M26" s="458">
        <v>66.616484757245004</v>
      </c>
      <c r="N26" s="460">
        <v>38700</v>
      </c>
      <c r="O26" s="459">
        <v>1784000</v>
      </c>
      <c r="P26" s="458">
        <v>67.422524565381707</v>
      </c>
      <c r="Q26" s="457">
        <v>76</v>
      </c>
      <c r="R26" s="456">
        <v>3323</v>
      </c>
      <c r="S26" s="432">
        <v>66.499899939963981</v>
      </c>
      <c r="T26" s="457">
        <v>102.3</v>
      </c>
      <c r="U26" s="456">
        <v>4269</v>
      </c>
      <c r="V26" s="432">
        <v>71.55548105933623</v>
      </c>
      <c r="W26" s="457">
        <v>75.099999999999994</v>
      </c>
      <c r="X26" s="456">
        <v>3070</v>
      </c>
      <c r="Y26" s="432">
        <v>81.670657089651499</v>
      </c>
      <c r="Z26" s="457">
        <v>67</v>
      </c>
      <c r="AA26" s="456">
        <v>2802</v>
      </c>
      <c r="AB26" s="432">
        <v>80.286532951289402</v>
      </c>
      <c r="AC26" s="457">
        <v>69</v>
      </c>
      <c r="AD26" s="462">
        <v>3108</v>
      </c>
      <c r="AE26" s="432">
        <v>85.408079142621602</v>
      </c>
      <c r="AF26" s="457">
        <v>69</v>
      </c>
      <c r="AG26" s="456">
        <v>2873</v>
      </c>
      <c r="AH26" s="432">
        <v>84.400705052878962</v>
      </c>
      <c r="AI26" s="457">
        <v>64</v>
      </c>
      <c r="AJ26" s="462">
        <v>2609</v>
      </c>
      <c r="AK26" s="432">
        <v>87.963587322993931</v>
      </c>
      <c r="AL26" s="457">
        <v>59</v>
      </c>
      <c r="AM26" s="462">
        <v>2475</v>
      </c>
      <c r="AN26" s="432">
        <v>89.447054571738349</v>
      </c>
      <c r="AO26" s="457">
        <v>56</v>
      </c>
      <c r="AP26" s="462">
        <v>2146</v>
      </c>
      <c r="AQ26" s="432">
        <v>90.77834179357022</v>
      </c>
      <c r="AR26" s="457">
        <v>56</v>
      </c>
      <c r="AS26" s="456">
        <v>2137</v>
      </c>
      <c r="AT26" s="432">
        <v>90.781648258283781</v>
      </c>
      <c r="AU26" s="452">
        <v>51.6</v>
      </c>
      <c r="AV26" s="451">
        <v>2034</v>
      </c>
      <c r="AW26" s="450">
        <v>94.73684210526315</v>
      </c>
      <c r="AX26" s="452">
        <v>50.6</v>
      </c>
      <c r="AY26" s="451">
        <v>2027</v>
      </c>
      <c r="AZ26" s="450">
        <v>94.6753853339561</v>
      </c>
      <c r="BA26" s="452">
        <v>50.6</v>
      </c>
      <c r="BB26" s="451">
        <v>1984</v>
      </c>
      <c r="BC26" s="450">
        <v>100</v>
      </c>
      <c r="BD26" s="452">
        <v>47.5</v>
      </c>
      <c r="BE26" s="451">
        <v>1919</v>
      </c>
      <c r="BF26" s="450">
        <v>100</v>
      </c>
      <c r="BG26" s="452">
        <v>45</v>
      </c>
      <c r="BH26" s="451">
        <v>1867</v>
      </c>
      <c r="BI26" s="450">
        <v>100</v>
      </c>
      <c r="BJ26" s="452">
        <v>44</v>
      </c>
      <c r="BK26" s="451">
        <v>1859</v>
      </c>
      <c r="BL26" s="450">
        <v>100</v>
      </c>
      <c r="BM26" s="452">
        <v>43</v>
      </c>
      <c r="BN26" s="451">
        <v>1824</v>
      </c>
      <c r="BO26" s="450">
        <v>100</v>
      </c>
      <c r="BP26" s="452">
        <v>42</v>
      </c>
      <c r="BQ26" s="451">
        <v>1764</v>
      </c>
      <c r="BR26" s="450">
        <v>100</v>
      </c>
      <c r="BS26" s="452">
        <v>41</v>
      </c>
      <c r="BT26" s="451">
        <v>1712</v>
      </c>
      <c r="BU26" s="450">
        <v>100</v>
      </c>
      <c r="BV26" s="452">
        <v>40</v>
      </c>
      <c r="BW26" s="451">
        <v>1600</v>
      </c>
      <c r="BX26" s="450">
        <v>100</v>
      </c>
      <c r="BY26" s="452">
        <v>39</v>
      </c>
      <c r="BZ26" s="451">
        <v>1508</v>
      </c>
      <c r="CA26" s="450">
        <v>100</v>
      </c>
      <c r="CB26" s="452">
        <v>37</v>
      </c>
      <c r="CC26" s="451">
        <v>1470</v>
      </c>
      <c r="CD26" s="450">
        <v>100</v>
      </c>
      <c r="CE26" s="452">
        <v>36</v>
      </c>
      <c r="CF26" s="451">
        <v>1431</v>
      </c>
      <c r="CG26" s="450">
        <v>100</v>
      </c>
      <c r="CH26" s="452">
        <v>36</v>
      </c>
      <c r="CI26" s="451">
        <v>1454</v>
      </c>
      <c r="CJ26" s="450">
        <v>100</v>
      </c>
      <c r="CK26" s="452">
        <v>35</v>
      </c>
      <c r="CL26" s="451">
        <v>1382</v>
      </c>
      <c r="CM26" s="450">
        <v>100</v>
      </c>
      <c r="CN26" s="452">
        <v>33</v>
      </c>
      <c r="CO26" s="451">
        <v>1355</v>
      </c>
      <c r="CP26" s="450">
        <v>100</v>
      </c>
      <c r="CQ26" s="452">
        <v>32</v>
      </c>
      <c r="CR26" s="451">
        <v>1300</v>
      </c>
      <c r="CS26" s="450">
        <v>100</v>
      </c>
      <c r="CT26" s="452">
        <v>31</v>
      </c>
      <c r="CU26" s="451">
        <v>1251</v>
      </c>
      <c r="CV26" s="450">
        <v>100</v>
      </c>
      <c r="CW26" s="452">
        <v>30</v>
      </c>
      <c r="CX26" s="451">
        <v>1145</v>
      </c>
      <c r="CY26" s="450">
        <v>100</v>
      </c>
      <c r="CZ26" s="452">
        <v>28</v>
      </c>
      <c r="DA26" s="451">
        <v>1089</v>
      </c>
      <c r="DB26" s="450">
        <v>100</v>
      </c>
      <c r="DC26" s="452">
        <v>27</v>
      </c>
      <c r="DD26" s="451">
        <v>1085</v>
      </c>
      <c r="DE26" s="450">
        <v>100</v>
      </c>
      <c r="DF26" s="452">
        <v>25</v>
      </c>
      <c r="DG26" s="451">
        <v>1036</v>
      </c>
      <c r="DH26" s="450">
        <v>100</v>
      </c>
      <c r="DI26" s="452">
        <v>24</v>
      </c>
      <c r="DJ26" s="451">
        <v>995</v>
      </c>
      <c r="DK26" s="450">
        <v>100</v>
      </c>
      <c r="DL26" s="452">
        <v>23</v>
      </c>
      <c r="DM26" s="451">
        <v>955</v>
      </c>
      <c r="DN26" s="450">
        <v>100</v>
      </c>
      <c r="DO26" s="452">
        <v>21</v>
      </c>
      <c r="DP26" s="451">
        <v>882</v>
      </c>
      <c r="DQ26" s="450">
        <v>100</v>
      </c>
      <c r="DR26" s="452">
        <v>20</v>
      </c>
      <c r="DS26" s="451">
        <v>810</v>
      </c>
      <c r="DT26" s="450">
        <v>100</v>
      </c>
      <c r="DU26" s="452">
        <v>19</v>
      </c>
      <c r="DV26" s="451">
        <v>743</v>
      </c>
      <c r="DW26" s="450">
        <v>100</v>
      </c>
      <c r="DX26" s="452">
        <v>17</v>
      </c>
      <c r="DY26" s="451">
        <v>680</v>
      </c>
      <c r="DZ26" s="450">
        <v>100</v>
      </c>
      <c r="EA26" s="452">
        <v>16</v>
      </c>
      <c r="EB26" s="451">
        <v>647</v>
      </c>
      <c r="EC26" s="450">
        <v>100</v>
      </c>
      <c r="ED26" s="452">
        <v>14</v>
      </c>
      <c r="EE26" s="451">
        <v>575</v>
      </c>
      <c r="EF26" s="450">
        <v>100</v>
      </c>
      <c r="EG26" s="452">
        <v>13</v>
      </c>
      <c r="EH26" s="451">
        <v>533</v>
      </c>
      <c r="EI26" s="450">
        <v>100</v>
      </c>
      <c r="EJ26" s="452">
        <v>11.7</v>
      </c>
      <c r="EK26" s="451">
        <v>512</v>
      </c>
      <c r="EL26" s="450">
        <v>100</v>
      </c>
      <c r="EM26" s="452">
        <v>11</v>
      </c>
      <c r="EN26" s="451">
        <v>522</v>
      </c>
      <c r="EO26" s="450">
        <v>100</v>
      </c>
      <c r="EP26" s="452">
        <v>11</v>
      </c>
      <c r="EQ26" s="451">
        <v>528</v>
      </c>
      <c r="ER26" s="450">
        <v>100</v>
      </c>
      <c r="ES26" s="452">
        <v>11</v>
      </c>
      <c r="ET26" s="451">
        <v>546</v>
      </c>
      <c r="EU26" s="450">
        <v>100</v>
      </c>
      <c r="EV26" s="452">
        <v>11</v>
      </c>
      <c r="EW26" s="451">
        <v>521</v>
      </c>
      <c r="EX26" s="450">
        <v>100</v>
      </c>
      <c r="EY26" s="452">
        <v>11</v>
      </c>
      <c r="EZ26" s="451">
        <v>558</v>
      </c>
      <c r="FA26" s="450">
        <v>100</v>
      </c>
      <c r="FB26" s="452">
        <v>11</v>
      </c>
      <c r="FC26" s="451">
        <v>530</v>
      </c>
      <c r="FD26" s="450">
        <v>100</v>
      </c>
      <c r="FE26" s="452">
        <v>0.7</v>
      </c>
      <c r="FF26" s="451">
        <v>34</v>
      </c>
      <c r="FG26" s="450">
        <v>100</v>
      </c>
      <c r="FH26" s="452">
        <v>0.4</v>
      </c>
      <c r="FI26" s="451">
        <v>20</v>
      </c>
      <c r="FJ26" s="450">
        <v>100</v>
      </c>
      <c r="FK26" s="452">
        <v>0.4</v>
      </c>
      <c r="FL26" s="451">
        <v>20</v>
      </c>
      <c r="FM26" s="450">
        <v>100</v>
      </c>
      <c r="FN26" s="452">
        <v>0.1</v>
      </c>
      <c r="FO26" s="451">
        <v>5</v>
      </c>
      <c r="FP26" s="450">
        <v>100</v>
      </c>
      <c r="FQ26" s="452">
        <v>0.1</v>
      </c>
      <c r="FR26" s="451">
        <v>6</v>
      </c>
      <c r="FS26" s="450">
        <v>100</v>
      </c>
      <c r="FT26" s="452">
        <v>0.1</v>
      </c>
      <c r="FU26" s="451">
        <v>0</v>
      </c>
      <c r="FV26" s="450">
        <v>0</v>
      </c>
      <c r="FW26" s="452">
        <v>0.1</v>
      </c>
      <c r="FX26" s="451">
        <v>0</v>
      </c>
      <c r="FY26" s="450">
        <v>0</v>
      </c>
      <c r="FZ26" s="452">
        <v>0.1</v>
      </c>
      <c r="GA26" s="451">
        <v>0</v>
      </c>
      <c r="GB26" s="450">
        <v>0</v>
      </c>
      <c r="GC26" s="452">
        <v>0.1</v>
      </c>
      <c r="GD26" s="451">
        <v>0</v>
      </c>
      <c r="GE26" s="450">
        <v>0</v>
      </c>
      <c r="GF26" s="452">
        <v>0.1</v>
      </c>
      <c r="GG26" s="451">
        <v>0</v>
      </c>
      <c r="GH26" s="450">
        <v>0</v>
      </c>
      <c r="GI26" s="455">
        <v>0</v>
      </c>
      <c r="GJ26" s="454">
        <v>0</v>
      </c>
      <c r="GK26" s="453">
        <v>0</v>
      </c>
      <c r="GL26" s="455">
        <v>0</v>
      </c>
      <c r="GM26" s="454">
        <v>0</v>
      </c>
      <c r="GN26" s="453">
        <v>0</v>
      </c>
      <c r="GO26" s="455">
        <v>0</v>
      </c>
      <c r="GP26" s="454">
        <v>0</v>
      </c>
      <c r="GQ26" s="453">
        <v>0</v>
      </c>
      <c r="GR26" s="455">
        <v>0</v>
      </c>
      <c r="GS26" s="454">
        <v>0</v>
      </c>
      <c r="GT26" s="453">
        <v>0</v>
      </c>
      <c r="GU26" s="455">
        <v>0</v>
      </c>
      <c r="GV26" s="454">
        <v>0</v>
      </c>
      <c r="GW26" s="453">
        <v>0</v>
      </c>
      <c r="GX26" s="455">
        <v>0</v>
      </c>
      <c r="GY26" s="454">
        <v>0</v>
      </c>
      <c r="GZ26" s="453">
        <v>0</v>
      </c>
      <c r="HA26" s="455">
        <v>0</v>
      </c>
      <c r="HB26" s="454">
        <v>0</v>
      </c>
      <c r="HC26" s="453">
        <v>0</v>
      </c>
      <c r="HD26" s="455">
        <v>0</v>
      </c>
      <c r="HE26" s="454">
        <v>0</v>
      </c>
      <c r="HF26" s="453">
        <v>0</v>
      </c>
    </row>
    <row r="27" spans="1:214" s="449" customFormat="1" ht="17.399999999999999" hidden="1" customHeight="1" x14ac:dyDescent="0.3">
      <c r="A27" s="461" t="s">
        <v>489</v>
      </c>
      <c r="B27" s="460"/>
      <c r="C27" s="459"/>
      <c r="D27" s="458"/>
      <c r="E27" s="460"/>
      <c r="F27" s="459"/>
      <c r="G27" s="458"/>
      <c r="H27" s="460"/>
      <c r="I27" s="459"/>
      <c r="J27" s="458"/>
      <c r="K27" s="460"/>
      <c r="L27" s="459"/>
      <c r="M27" s="458"/>
      <c r="N27" s="460"/>
      <c r="O27" s="459"/>
      <c r="P27" s="458"/>
      <c r="Q27" s="457"/>
      <c r="R27" s="456"/>
      <c r="S27" s="432"/>
      <c r="T27" s="457"/>
      <c r="U27" s="456"/>
      <c r="V27" s="432"/>
      <c r="W27" s="457"/>
      <c r="X27" s="456"/>
      <c r="Y27" s="432"/>
      <c r="Z27" s="457"/>
      <c r="AA27" s="456"/>
      <c r="AB27" s="432"/>
      <c r="AC27" s="457"/>
      <c r="AD27" s="456"/>
      <c r="AE27" s="432"/>
      <c r="AF27" s="457"/>
      <c r="AG27" s="456"/>
      <c r="AH27" s="432"/>
      <c r="AI27" s="457">
        <v>0</v>
      </c>
      <c r="AJ27" s="456">
        <v>0</v>
      </c>
      <c r="AK27" s="432">
        <v>0</v>
      </c>
      <c r="AL27" s="457">
        <v>0</v>
      </c>
      <c r="AM27" s="456">
        <v>0</v>
      </c>
      <c r="AN27" s="432">
        <v>0</v>
      </c>
      <c r="AO27" s="457">
        <v>0.7</v>
      </c>
      <c r="AP27" s="456">
        <v>36</v>
      </c>
      <c r="AQ27" s="432">
        <v>1.5228426395939088</v>
      </c>
      <c r="AR27" s="457">
        <v>0.7</v>
      </c>
      <c r="AS27" s="456">
        <v>36</v>
      </c>
      <c r="AT27" s="432">
        <v>1.5293118096856415</v>
      </c>
      <c r="AU27" s="452">
        <v>0.4</v>
      </c>
      <c r="AV27" s="451">
        <v>19</v>
      </c>
      <c r="AW27" s="450">
        <v>0.88495575221238942</v>
      </c>
      <c r="AX27" s="452">
        <v>0.4</v>
      </c>
      <c r="AY27" s="451">
        <v>19</v>
      </c>
      <c r="AZ27" s="450">
        <v>0.88743577767398418</v>
      </c>
      <c r="BA27" s="452">
        <v>0</v>
      </c>
      <c r="BB27" s="451">
        <v>0</v>
      </c>
      <c r="BC27" s="450">
        <v>0</v>
      </c>
      <c r="BD27" s="452">
        <v>0</v>
      </c>
      <c r="BE27" s="451">
        <v>0</v>
      </c>
      <c r="BF27" s="450">
        <v>0</v>
      </c>
      <c r="BG27" s="452">
        <v>0</v>
      </c>
      <c r="BH27" s="451">
        <v>0</v>
      </c>
      <c r="BI27" s="450">
        <v>0</v>
      </c>
      <c r="BJ27" s="452">
        <v>0</v>
      </c>
      <c r="BK27" s="451">
        <v>0</v>
      </c>
      <c r="BL27" s="450">
        <v>0</v>
      </c>
      <c r="BM27" s="452">
        <v>0</v>
      </c>
      <c r="BN27" s="451">
        <v>0</v>
      </c>
      <c r="BO27" s="450">
        <v>0</v>
      </c>
      <c r="BP27" s="452">
        <v>0</v>
      </c>
      <c r="BQ27" s="451">
        <v>0</v>
      </c>
      <c r="BR27" s="450">
        <v>0</v>
      </c>
      <c r="BS27" s="452">
        <v>0</v>
      </c>
      <c r="BT27" s="451">
        <v>0</v>
      </c>
      <c r="BU27" s="450">
        <v>0</v>
      </c>
      <c r="BV27" s="452">
        <v>0</v>
      </c>
      <c r="BW27" s="451">
        <v>0</v>
      </c>
      <c r="BX27" s="450">
        <v>0</v>
      </c>
      <c r="BY27" s="452">
        <v>0</v>
      </c>
      <c r="BZ27" s="451">
        <v>0</v>
      </c>
      <c r="CA27" s="450">
        <v>0</v>
      </c>
      <c r="CB27" s="452">
        <v>0</v>
      </c>
      <c r="CC27" s="451">
        <v>0</v>
      </c>
      <c r="CD27" s="450">
        <v>0</v>
      </c>
      <c r="CE27" s="452">
        <v>0</v>
      </c>
      <c r="CF27" s="451">
        <v>0</v>
      </c>
      <c r="CG27" s="450">
        <v>0</v>
      </c>
      <c r="CH27" s="452"/>
      <c r="CI27" s="451"/>
      <c r="CJ27" s="450">
        <v>0</v>
      </c>
      <c r="CK27" s="452"/>
      <c r="CL27" s="451"/>
      <c r="CM27" s="450">
        <v>0</v>
      </c>
      <c r="CN27" s="452"/>
      <c r="CO27" s="451"/>
      <c r="CP27" s="450">
        <v>0</v>
      </c>
      <c r="CQ27" s="452"/>
      <c r="CR27" s="451"/>
      <c r="CS27" s="450">
        <v>0</v>
      </c>
      <c r="CT27" s="452"/>
      <c r="CU27" s="451"/>
      <c r="CV27" s="450">
        <v>0</v>
      </c>
      <c r="CW27" s="452"/>
      <c r="CX27" s="451"/>
      <c r="CY27" s="450">
        <v>0</v>
      </c>
      <c r="CZ27" s="452"/>
      <c r="DA27" s="451"/>
      <c r="DB27" s="450">
        <v>0</v>
      </c>
      <c r="DC27" s="452"/>
      <c r="DD27" s="451"/>
      <c r="DE27" s="450">
        <v>0</v>
      </c>
      <c r="DF27" s="452"/>
      <c r="DG27" s="451"/>
      <c r="DH27" s="450">
        <v>0</v>
      </c>
      <c r="DI27" s="452"/>
      <c r="DJ27" s="451"/>
      <c r="DK27" s="450">
        <v>0</v>
      </c>
      <c r="DL27" s="452"/>
      <c r="DM27" s="451"/>
      <c r="DN27" s="450">
        <v>0</v>
      </c>
      <c r="DO27" s="452"/>
      <c r="DP27" s="451"/>
      <c r="DQ27" s="450">
        <v>0</v>
      </c>
      <c r="DR27" s="452"/>
      <c r="DS27" s="451"/>
      <c r="DT27" s="450">
        <v>0</v>
      </c>
      <c r="DU27" s="452"/>
      <c r="DV27" s="451"/>
      <c r="DW27" s="450">
        <v>0</v>
      </c>
      <c r="DX27" s="452"/>
      <c r="DY27" s="451"/>
      <c r="DZ27" s="450">
        <v>0</v>
      </c>
      <c r="EA27" s="452"/>
      <c r="EB27" s="451"/>
      <c r="EC27" s="450">
        <v>0</v>
      </c>
      <c r="ED27" s="452"/>
      <c r="EE27" s="451"/>
      <c r="EF27" s="450">
        <v>0</v>
      </c>
      <c r="EG27" s="452"/>
      <c r="EH27" s="451"/>
      <c r="EI27" s="450">
        <v>0</v>
      </c>
      <c r="EJ27" s="452"/>
      <c r="EK27" s="451"/>
      <c r="EL27" s="450">
        <v>0</v>
      </c>
      <c r="EM27" s="452"/>
      <c r="EN27" s="451"/>
      <c r="EO27" s="450">
        <v>0</v>
      </c>
      <c r="EP27" s="452"/>
      <c r="EQ27" s="451"/>
      <c r="ER27" s="450">
        <v>0</v>
      </c>
      <c r="ES27" s="452"/>
      <c r="ET27" s="451"/>
      <c r="EU27" s="450">
        <v>0</v>
      </c>
      <c r="EV27" s="452"/>
      <c r="EW27" s="451"/>
      <c r="EX27" s="450">
        <v>0</v>
      </c>
      <c r="EY27" s="452"/>
      <c r="EZ27" s="451"/>
      <c r="FA27" s="450">
        <v>0</v>
      </c>
      <c r="FB27" s="452"/>
      <c r="FC27" s="451"/>
      <c r="FD27" s="450">
        <v>0</v>
      </c>
      <c r="FE27" s="452"/>
      <c r="FF27" s="451"/>
      <c r="FG27" s="450">
        <v>0</v>
      </c>
      <c r="FH27" s="452"/>
      <c r="FI27" s="451"/>
      <c r="FJ27" s="450">
        <v>0</v>
      </c>
      <c r="FK27" s="452"/>
      <c r="FL27" s="451"/>
      <c r="FM27" s="450">
        <v>0</v>
      </c>
      <c r="FN27" s="452"/>
      <c r="FO27" s="451"/>
      <c r="FP27" s="450">
        <v>0</v>
      </c>
      <c r="FQ27" s="452"/>
      <c r="FR27" s="451"/>
      <c r="FS27" s="450">
        <v>0</v>
      </c>
      <c r="FT27" s="452"/>
      <c r="FU27" s="451"/>
      <c r="FV27" s="450" t="e">
        <v>#DIV/0!</v>
      </c>
      <c r="FW27" s="452"/>
      <c r="FX27" s="451"/>
      <c r="FY27" s="450" t="e">
        <v>#DIV/0!</v>
      </c>
      <c r="FZ27" s="452"/>
      <c r="GA27" s="451"/>
      <c r="GB27" s="450" t="e">
        <v>#DIV/0!</v>
      </c>
      <c r="GC27" s="452"/>
      <c r="GD27" s="451"/>
      <c r="GE27" s="450" t="e">
        <v>#DIV/0!</v>
      </c>
      <c r="GF27" s="452"/>
      <c r="GG27" s="451"/>
      <c r="GH27" s="450" t="e">
        <v>#DIV/0!</v>
      </c>
      <c r="GI27" s="455"/>
      <c r="GJ27" s="454"/>
      <c r="GK27" s="453" t="e">
        <v>#DIV/0!</v>
      </c>
      <c r="GL27" s="455"/>
      <c r="GM27" s="454"/>
      <c r="GN27" s="453" t="e">
        <v>#DIV/0!</v>
      </c>
      <c r="GO27" s="452"/>
      <c r="GP27" s="451"/>
      <c r="GQ27" s="450" t="e">
        <v>#DIV/0!</v>
      </c>
      <c r="GR27" s="452"/>
      <c r="GS27" s="451"/>
      <c r="GT27" s="450" t="e">
        <v>#DIV/0!</v>
      </c>
      <c r="GU27" s="452"/>
      <c r="GV27" s="451"/>
      <c r="GW27" s="450" t="e">
        <v>#DIV/0!</v>
      </c>
      <c r="GX27" s="452"/>
      <c r="GY27" s="451"/>
      <c r="GZ27" s="450" t="e">
        <v>#DIV/0!</v>
      </c>
      <c r="HA27" s="452"/>
      <c r="HB27" s="451"/>
      <c r="HC27" s="450" t="e">
        <v>#DIV/0!</v>
      </c>
      <c r="HD27" s="452"/>
      <c r="HE27" s="451"/>
      <c r="HF27" s="450" t="e">
        <v>#DIV/0!</v>
      </c>
    </row>
    <row r="28" spans="1:214" s="449" customFormat="1" ht="17.399999999999999" hidden="1" customHeight="1" x14ac:dyDescent="0.3">
      <c r="A28" s="461" t="s">
        <v>516</v>
      </c>
      <c r="B28" s="460"/>
      <c r="C28" s="459"/>
      <c r="D28" s="458"/>
      <c r="E28" s="460"/>
      <c r="F28" s="459"/>
      <c r="G28" s="458"/>
      <c r="H28" s="460"/>
      <c r="I28" s="459"/>
      <c r="J28" s="458"/>
      <c r="K28" s="460"/>
      <c r="L28" s="459"/>
      <c r="M28" s="458"/>
      <c r="N28" s="460"/>
      <c r="O28" s="459"/>
      <c r="P28" s="458"/>
      <c r="Q28" s="457"/>
      <c r="R28" s="456"/>
      <c r="S28" s="432"/>
      <c r="T28" s="457"/>
      <c r="U28" s="456"/>
      <c r="V28" s="432"/>
      <c r="W28" s="457"/>
      <c r="X28" s="456"/>
      <c r="Y28" s="432"/>
      <c r="Z28" s="457"/>
      <c r="AA28" s="456"/>
      <c r="AB28" s="432"/>
      <c r="AC28" s="457"/>
      <c r="AD28" s="456"/>
      <c r="AE28" s="432"/>
      <c r="AF28" s="457"/>
      <c r="AG28" s="456"/>
      <c r="AH28" s="432"/>
      <c r="AI28" s="457">
        <v>0</v>
      </c>
      <c r="AJ28" s="456">
        <v>0</v>
      </c>
      <c r="AK28" s="432">
        <v>0</v>
      </c>
      <c r="AL28" s="457">
        <v>0</v>
      </c>
      <c r="AM28" s="456">
        <v>0</v>
      </c>
      <c r="AN28" s="432">
        <v>0</v>
      </c>
      <c r="AO28" s="457">
        <v>0</v>
      </c>
      <c r="AP28" s="456">
        <v>0</v>
      </c>
      <c r="AQ28" s="432">
        <v>0</v>
      </c>
      <c r="AR28" s="457">
        <v>0</v>
      </c>
      <c r="AS28" s="456">
        <v>0</v>
      </c>
      <c r="AT28" s="432">
        <v>0</v>
      </c>
      <c r="AU28" s="452">
        <v>0</v>
      </c>
      <c r="AV28" s="451">
        <v>0</v>
      </c>
      <c r="AW28" s="450">
        <v>0</v>
      </c>
      <c r="AX28" s="452">
        <v>0</v>
      </c>
      <c r="AY28" s="451">
        <v>0</v>
      </c>
      <c r="AZ28" s="450">
        <v>0</v>
      </c>
      <c r="BA28" s="452">
        <v>0</v>
      </c>
      <c r="BB28" s="451">
        <v>0</v>
      </c>
      <c r="BC28" s="450">
        <v>0</v>
      </c>
      <c r="BD28" s="452">
        <v>0</v>
      </c>
      <c r="BE28" s="451">
        <v>0</v>
      </c>
      <c r="BF28" s="450">
        <v>0</v>
      </c>
      <c r="BG28" s="452">
        <v>0</v>
      </c>
      <c r="BH28" s="451">
        <v>0</v>
      </c>
      <c r="BI28" s="450">
        <v>0</v>
      </c>
      <c r="BJ28" s="452">
        <v>0</v>
      </c>
      <c r="BK28" s="451">
        <v>0</v>
      </c>
      <c r="BL28" s="450">
        <v>0</v>
      </c>
      <c r="BM28" s="452">
        <v>0</v>
      </c>
      <c r="BN28" s="451">
        <v>0</v>
      </c>
      <c r="BO28" s="450">
        <v>0</v>
      </c>
      <c r="BP28" s="452">
        <v>0</v>
      </c>
      <c r="BQ28" s="451">
        <v>0</v>
      </c>
      <c r="BR28" s="450">
        <v>0</v>
      </c>
      <c r="BS28" s="452">
        <v>0</v>
      </c>
      <c r="BT28" s="451">
        <v>0</v>
      </c>
      <c r="BU28" s="450">
        <v>0</v>
      </c>
      <c r="BV28" s="452">
        <v>0</v>
      </c>
      <c r="BW28" s="451">
        <v>0</v>
      </c>
      <c r="BX28" s="450">
        <v>0</v>
      </c>
      <c r="BY28" s="452">
        <v>0</v>
      </c>
      <c r="BZ28" s="451">
        <v>0</v>
      </c>
      <c r="CA28" s="450">
        <v>0</v>
      </c>
      <c r="CB28" s="452">
        <v>0</v>
      </c>
      <c r="CC28" s="451">
        <v>0</v>
      </c>
      <c r="CD28" s="450">
        <v>0</v>
      </c>
      <c r="CE28" s="452">
        <v>0</v>
      </c>
      <c r="CF28" s="451">
        <v>0</v>
      </c>
      <c r="CG28" s="450">
        <v>0</v>
      </c>
      <c r="CH28" s="452"/>
      <c r="CI28" s="451"/>
      <c r="CJ28" s="450">
        <v>0</v>
      </c>
      <c r="CK28" s="452"/>
      <c r="CL28" s="451"/>
      <c r="CM28" s="450">
        <v>0</v>
      </c>
      <c r="CN28" s="452"/>
      <c r="CO28" s="451"/>
      <c r="CP28" s="450">
        <v>0</v>
      </c>
      <c r="CQ28" s="452"/>
      <c r="CR28" s="451"/>
      <c r="CS28" s="450">
        <v>0</v>
      </c>
      <c r="CT28" s="452"/>
      <c r="CU28" s="451"/>
      <c r="CV28" s="450">
        <v>0</v>
      </c>
      <c r="CW28" s="452"/>
      <c r="CX28" s="451"/>
      <c r="CY28" s="450">
        <v>0</v>
      </c>
      <c r="CZ28" s="452"/>
      <c r="DA28" s="451"/>
      <c r="DB28" s="450">
        <v>0</v>
      </c>
      <c r="DC28" s="452"/>
      <c r="DD28" s="451"/>
      <c r="DE28" s="450">
        <v>0</v>
      </c>
      <c r="DF28" s="452"/>
      <c r="DG28" s="451"/>
      <c r="DH28" s="450">
        <v>0</v>
      </c>
      <c r="DI28" s="452"/>
      <c r="DJ28" s="451"/>
      <c r="DK28" s="450">
        <v>0</v>
      </c>
      <c r="DL28" s="452"/>
      <c r="DM28" s="451"/>
      <c r="DN28" s="450">
        <v>0</v>
      </c>
      <c r="DO28" s="452"/>
      <c r="DP28" s="451"/>
      <c r="DQ28" s="450">
        <v>0</v>
      </c>
      <c r="DR28" s="452"/>
      <c r="DS28" s="451"/>
      <c r="DT28" s="450">
        <v>0</v>
      </c>
      <c r="DU28" s="452"/>
      <c r="DV28" s="451"/>
      <c r="DW28" s="450">
        <v>0</v>
      </c>
      <c r="DX28" s="452"/>
      <c r="DY28" s="451"/>
      <c r="DZ28" s="450">
        <v>0</v>
      </c>
      <c r="EA28" s="452"/>
      <c r="EB28" s="451"/>
      <c r="EC28" s="450">
        <v>0</v>
      </c>
      <c r="ED28" s="452"/>
      <c r="EE28" s="451"/>
      <c r="EF28" s="450">
        <v>0</v>
      </c>
      <c r="EG28" s="452"/>
      <c r="EH28" s="451"/>
      <c r="EI28" s="450">
        <v>0</v>
      </c>
      <c r="EJ28" s="452"/>
      <c r="EK28" s="451"/>
      <c r="EL28" s="450">
        <v>0</v>
      </c>
      <c r="EM28" s="452"/>
      <c r="EN28" s="451"/>
      <c r="EO28" s="450">
        <v>0</v>
      </c>
      <c r="EP28" s="452"/>
      <c r="EQ28" s="451"/>
      <c r="ER28" s="450">
        <v>0</v>
      </c>
      <c r="ES28" s="452"/>
      <c r="ET28" s="451"/>
      <c r="EU28" s="450">
        <v>0</v>
      </c>
      <c r="EV28" s="452"/>
      <c r="EW28" s="451"/>
      <c r="EX28" s="450">
        <v>0</v>
      </c>
      <c r="EY28" s="452"/>
      <c r="EZ28" s="451"/>
      <c r="FA28" s="450">
        <v>0</v>
      </c>
      <c r="FB28" s="452"/>
      <c r="FC28" s="451"/>
      <c r="FD28" s="450">
        <v>0</v>
      </c>
      <c r="FE28" s="452"/>
      <c r="FF28" s="451"/>
      <c r="FG28" s="450">
        <v>0</v>
      </c>
      <c r="FH28" s="452"/>
      <c r="FI28" s="451"/>
      <c r="FJ28" s="450">
        <v>0</v>
      </c>
      <c r="FK28" s="452"/>
      <c r="FL28" s="451"/>
      <c r="FM28" s="450">
        <v>0</v>
      </c>
      <c r="FN28" s="452"/>
      <c r="FO28" s="451"/>
      <c r="FP28" s="450">
        <v>0</v>
      </c>
      <c r="FQ28" s="452"/>
      <c r="FR28" s="451"/>
      <c r="FS28" s="450">
        <v>0</v>
      </c>
      <c r="FT28" s="452"/>
      <c r="FU28" s="451"/>
      <c r="FV28" s="450">
        <v>0</v>
      </c>
      <c r="FW28" s="452"/>
      <c r="FX28" s="451"/>
      <c r="FY28" s="450">
        <v>0</v>
      </c>
      <c r="FZ28" s="452"/>
      <c r="GA28" s="451"/>
      <c r="GB28" s="450">
        <v>0</v>
      </c>
      <c r="GC28" s="452"/>
      <c r="GD28" s="451"/>
      <c r="GE28" s="450">
        <v>0</v>
      </c>
      <c r="GF28" s="452"/>
      <c r="GG28" s="451"/>
      <c r="GH28" s="450">
        <v>0</v>
      </c>
      <c r="GI28" s="455"/>
      <c r="GJ28" s="454"/>
      <c r="GK28" s="453">
        <v>0</v>
      </c>
      <c r="GL28" s="455"/>
      <c r="GM28" s="454"/>
      <c r="GN28" s="453">
        <v>0</v>
      </c>
      <c r="GO28" s="452"/>
      <c r="GP28" s="451"/>
      <c r="GQ28" s="450">
        <v>0</v>
      </c>
      <c r="GR28" s="452"/>
      <c r="GS28" s="451"/>
      <c r="GT28" s="450">
        <v>0</v>
      </c>
      <c r="GU28" s="452"/>
      <c r="GV28" s="451"/>
      <c r="GW28" s="450">
        <v>0</v>
      </c>
      <c r="GX28" s="452"/>
      <c r="GY28" s="451"/>
      <c r="GZ28" s="450">
        <v>0</v>
      </c>
      <c r="HA28" s="452"/>
      <c r="HB28" s="451"/>
      <c r="HC28" s="450">
        <v>0</v>
      </c>
      <c r="HD28" s="452"/>
      <c r="HE28" s="451"/>
      <c r="HF28" s="450">
        <v>0</v>
      </c>
    </row>
    <row r="29" spans="1:214" ht="17.399999999999999" customHeight="1" x14ac:dyDescent="0.3">
      <c r="A29" s="434"/>
      <c r="B29" s="436"/>
      <c r="C29" s="19"/>
      <c r="D29" s="434"/>
      <c r="E29" s="436"/>
      <c r="F29" s="19"/>
      <c r="G29" s="434"/>
      <c r="H29" s="436"/>
      <c r="I29" s="19"/>
      <c r="J29" s="434"/>
      <c r="K29" s="436"/>
      <c r="L29" s="19"/>
      <c r="M29" s="434"/>
      <c r="N29" s="436"/>
      <c r="O29" s="19"/>
      <c r="P29" s="434"/>
      <c r="Q29" s="433"/>
      <c r="R29" s="448"/>
      <c r="S29" s="432"/>
      <c r="T29" s="430"/>
      <c r="U29" s="447"/>
      <c r="V29" s="428"/>
      <c r="W29" s="430"/>
      <c r="X29" s="447"/>
      <c r="Y29" s="428"/>
      <c r="Z29" s="430"/>
      <c r="AA29" s="447"/>
      <c r="AB29" s="428"/>
      <c r="AC29" s="430"/>
      <c r="AD29" s="447"/>
      <c r="AE29" s="428"/>
      <c r="AF29" s="430"/>
      <c r="AG29" s="447"/>
      <c r="AH29" s="428"/>
      <c r="AI29" s="430"/>
      <c r="AJ29" s="447"/>
      <c r="AK29" s="428"/>
      <c r="AL29" s="430"/>
      <c r="AM29" s="447"/>
      <c r="AN29" s="428"/>
      <c r="AO29" s="430"/>
      <c r="AP29" s="447"/>
      <c r="AQ29" s="428"/>
      <c r="AR29" s="430"/>
      <c r="AS29" s="447"/>
      <c r="AT29" s="428"/>
      <c r="AU29" s="427"/>
      <c r="AV29" s="445"/>
      <c r="AW29" s="425"/>
      <c r="AX29" s="427"/>
      <c r="AY29" s="445"/>
      <c r="AZ29" s="425"/>
      <c r="BA29" s="427"/>
      <c r="BB29" s="445"/>
      <c r="BC29" s="425"/>
      <c r="BD29" s="427"/>
      <c r="BE29" s="445"/>
      <c r="BF29" s="425"/>
      <c r="BG29" s="427"/>
      <c r="BH29" s="445"/>
      <c r="BI29" s="425"/>
      <c r="BJ29" s="427"/>
      <c r="BK29" s="445"/>
      <c r="BL29" s="425"/>
      <c r="BM29" s="427"/>
      <c r="BN29" s="445"/>
      <c r="BO29" s="425"/>
      <c r="BP29" s="427"/>
      <c r="BQ29" s="445"/>
      <c r="BR29" s="425"/>
      <c r="BS29" s="427"/>
      <c r="BT29" s="445"/>
      <c r="BU29" s="425"/>
      <c r="BV29" s="427"/>
      <c r="BW29" s="445"/>
      <c r="BX29" s="425"/>
      <c r="BY29" s="427"/>
      <c r="BZ29" s="445"/>
      <c r="CA29" s="425"/>
      <c r="CB29" s="427"/>
      <c r="CC29" s="445"/>
      <c r="CD29" s="425"/>
      <c r="CE29" s="427"/>
      <c r="CF29" s="445"/>
      <c r="CG29" s="425"/>
      <c r="CH29" s="427"/>
      <c r="CI29" s="445"/>
      <c r="CJ29" s="425"/>
      <c r="CK29" s="427"/>
      <c r="CL29" s="445"/>
      <c r="CM29" s="425"/>
      <c r="CN29" s="427"/>
      <c r="CO29" s="445"/>
      <c r="CP29" s="425"/>
      <c r="CQ29" s="427"/>
      <c r="CR29" s="445"/>
      <c r="CS29" s="425"/>
      <c r="CT29" s="427"/>
      <c r="CU29" s="445"/>
      <c r="CV29" s="425"/>
      <c r="CW29" s="427"/>
      <c r="CX29" s="445"/>
      <c r="CY29" s="425"/>
      <c r="CZ29" s="427"/>
      <c r="DA29" s="445"/>
      <c r="DB29" s="425"/>
      <c r="DC29" s="427"/>
      <c r="DD29" s="445"/>
      <c r="DE29" s="425"/>
      <c r="DF29" s="427"/>
      <c r="DG29" s="445"/>
      <c r="DH29" s="425"/>
      <c r="DI29" s="427"/>
      <c r="DJ29" s="445"/>
      <c r="DK29" s="425"/>
      <c r="DL29" s="427"/>
      <c r="DM29" s="445"/>
      <c r="DN29" s="425"/>
      <c r="DO29" s="427"/>
      <c r="DP29" s="445"/>
      <c r="DQ29" s="425"/>
      <c r="DR29" s="427"/>
      <c r="DS29" s="445"/>
      <c r="DT29" s="425"/>
      <c r="DU29" s="427"/>
      <c r="DV29" s="445"/>
      <c r="DW29" s="425"/>
      <c r="DX29" s="427"/>
      <c r="DY29" s="445"/>
      <c r="DZ29" s="425"/>
      <c r="EA29" s="427"/>
      <c r="EB29" s="445"/>
      <c r="EC29" s="425"/>
      <c r="ED29" s="427"/>
      <c r="EE29" s="445"/>
      <c r="EF29" s="425"/>
      <c r="EG29" s="427"/>
      <c r="EH29" s="445"/>
      <c r="EI29" s="425"/>
      <c r="EJ29" s="427"/>
      <c r="EK29" s="445"/>
      <c r="EL29" s="425"/>
      <c r="EM29" s="427"/>
      <c r="EN29" s="445"/>
      <c r="EO29" s="425"/>
      <c r="EP29" s="427"/>
      <c r="EQ29" s="445"/>
      <c r="ER29" s="425"/>
      <c r="ES29" s="427"/>
      <c r="ET29" s="445"/>
      <c r="EU29" s="425"/>
      <c r="EV29" s="427"/>
      <c r="EW29" s="445"/>
      <c r="EX29" s="425"/>
      <c r="EY29" s="427"/>
      <c r="EZ29" s="445"/>
      <c r="FA29" s="425"/>
      <c r="FB29" s="427"/>
      <c r="FC29" s="445"/>
      <c r="FD29" s="425"/>
      <c r="FE29" s="427"/>
      <c r="FF29" s="445"/>
      <c r="FG29" s="425"/>
      <c r="FH29" s="427"/>
      <c r="FI29" s="445"/>
      <c r="FJ29" s="425"/>
      <c r="FK29" s="427"/>
      <c r="FL29" s="445"/>
      <c r="FM29" s="425"/>
      <c r="FN29" s="427"/>
      <c r="FO29" s="445"/>
      <c r="FP29" s="425"/>
      <c r="FQ29" s="427"/>
      <c r="FR29" s="445"/>
      <c r="FS29" s="425"/>
      <c r="FT29" s="427"/>
      <c r="FU29" s="445"/>
      <c r="FV29" s="425"/>
      <c r="FW29" s="427"/>
      <c r="FX29" s="445"/>
      <c r="FY29" s="425"/>
      <c r="FZ29" s="427"/>
      <c r="GA29" s="445"/>
      <c r="GB29" s="425"/>
      <c r="GC29" s="427"/>
      <c r="GD29" s="445"/>
      <c r="GE29" s="425"/>
      <c r="GF29" s="427"/>
      <c r="GG29" s="445"/>
      <c r="GH29" s="425"/>
      <c r="GI29" s="440"/>
      <c r="GJ29" s="446"/>
      <c r="GK29" s="439"/>
      <c r="GL29" s="440"/>
      <c r="GM29" s="446"/>
      <c r="GN29" s="439"/>
      <c r="GO29" s="427"/>
      <c r="GP29" s="445"/>
      <c r="GQ29" s="425"/>
      <c r="GR29" s="427"/>
      <c r="GS29" s="445"/>
      <c r="GT29" s="425"/>
      <c r="GU29" s="427"/>
      <c r="GV29" s="445"/>
      <c r="GW29" s="425"/>
      <c r="GX29" s="427"/>
      <c r="GY29" s="445"/>
      <c r="GZ29" s="425"/>
      <c r="HA29" s="427"/>
      <c r="HB29" s="445"/>
      <c r="HC29" s="425"/>
      <c r="HD29" s="427"/>
      <c r="HE29" s="445"/>
      <c r="HF29" s="425"/>
    </row>
    <row r="30" spans="1:214" ht="17.399999999999999" customHeight="1" x14ac:dyDescent="0.3">
      <c r="A30" s="437" t="s">
        <v>447</v>
      </c>
      <c r="B30" s="436"/>
      <c r="C30" s="435">
        <v>2501499</v>
      </c>
      <c r="D30" s="434"/>
      <c r="E30" s="436"/>
      <c r="F30" s="435">
        <v>2542396</v>
      </c>
      <c r="G30" s="434"/>
      <c r="H30" s="436"/>
      <c r="I30" s="435">
        <v>2501605</v>
      </c>
      <c r="J30" s="434"/>
      <c r="K30" s="436"/>
      <c r="L30" s="435">
        <v>2657000</v>
      </c>
      <c r="M30" s="434"/>
      <c r="N30" s="436"/>
      <c r="O30" s="435">
        <v>2646000</v>
      </c>
      <c r="P30" s="434"/>
      <c r="Q30" s="433"/>
      <c r="R30" s="431">
        <v>4997</v>
      </c>
      <c r="S30" s="432"/>
      <c r="T30" s="430"/>
      <c r="U30" s="431">
        <v>5966</v>
      </c>
      <c r="V30" s="428"/>
      <c r="W30" s="430"/>
      <c r="X30" s="431">
        <v>3759</v>
      </c>
      <c r="Y30" s="428"/>
      <c r="Z30" s="430"/>
      <c r="AA30" s="431">
        <v>3490</v>
      </c>
      <c r="AB30" s="428"/>
      <c r="AC30" s="430"/>
      <c r="AD30" s="442">
        <v>3639</v>
      </c>
      <c r="AE30" s="428"/>
      <c r="AF30" s="430"/>
      <c r="AG30" s="442">
        <v>3404</v>
      </c>
      <c r="AH30" s="428"/>
      <c r="AI30" s="430"/>
      <c r="AJ30" s="442">
        <v>2966</v>
      </c>
      <c r="AK30" s="444"/>
      <c r="AL30" s="443"/>
      <c r="AM30" s="442">
        <v>2767</v>
      </c>
      <c r="AN30" s="444"/>
      <c r="AO30" s="443"/>
      <c r="AP30" s="442">
        <v>2364</v>
      </c>
      <c r="AQ30" s="444"/>
      <c r="AR30" s="443"/>
      <c r="AS30" s="442">
        <v>2354</v>
      </c>
      <c r="AT30" s="428"/>
      <c r="AU30" s="427"/>
      <c r="AV30" s="441">
        <v>2147</v>
      </c>
      <c r="AW30" s="425"/>
      <c r="AX30" s="427"/>
      <c r="AY30" s="441">
        <v>2141</v>
      </c>
      <c r="AZ30" s="425"/>
      <c r="BA30" s="427"/>
      <c r="BB30" s="441">
        <v>1984</v>
      </c>
      <c r="BC30" s="425"/>
      <c r="BD30" s="427"/>
      <c r="BE30" s="441">
        <v>1919</v>
      </c>
      <c r="BF30" s="425"/>
      <c r="BG30" s="427"/>
      <c r="BH30" s="441">
        <v>1867</v>
      </c>
      <c r="BI30" s="425"/>
      <c r="BJ30" s="427"/>
      <c r="BK30" s="441">
        <v>1859</v>
      </c>
      <c r="BL30" s="425"/>
      <c r="BM30" s="427"/>
      <c r="BN30" s="441">
        <v>1824</v>
      </c>
      <c r="BO30" s="425"/>
      <c r="BP30" s="427"/>
      <c r="BQ30" s="441">
        <v>1764</v>
      </c>
      <c r="BR30" s="425"/>
      <c r="BS30" s="427"/>
      <c r="BT30" s="441">
        <v>1712</v>
      </c>
      <c r="BU30" s="425"/>
      <c r="BV30" s="427"/>
      <c r="BW30" s="441">
        <v>1600</v>
      </c>
      <c r="BX30" s="425"/>
      <c r="BY30" s="427"/>
      <c r="BZ30" s="441">
        <v>1508</v>
      </c>
      <c r="CA30" s="425"/>
      <c r="CB30" s="427"/>
      <c r="CC30" s="441">
        <v>1470</v>
      </c>
      <c r="CD30" s="425"/>
      <c r="CE30" s="427"/>
      <c r="CF30" s="441">
        <v>1431</v>
      </c>
      <c r="CG30" s="425"/>
      <c r="CH30" s="427"/>
      <c r="CI30" s="441">
        <v>1454</v>
      </c>
      <c r="CJ30" s="425"/>
      <c r="CK30" s="427"/>
      <c r="CL30" s="441">
        <v>1382</v>
      </c>
      <c r="CM30" s="425"/>
      <c r="CN30" s="427"/>
      <c r="CO30" s="441">
        <v>1355</v>
      </c>
      <c r="CP30" s="425"/>
      <c r="CQ30" s="427"/>
      <c r="CR30" s="441">
        <v>1300</v>
      </c>
      <c r="CS30" s="425"/>
      <c r="CT30" s="427"/>
      <c r="CU30" s="441">
        <v>1251</v>
      </c>
      <c r="CV30" s="425"/>
      <c r="CW30" s="427"/>
      <c r="CX30" s="441">
        <v>1145</v>
      </c>
      <c r="CY30" s="425"/>
      <c r="CZ30" s="427"/>
      <c r="DA30" s="441">
        <v>1089</v>
      </c>
      <c r="DB30" s="425"/>
      <c r="DC30" s="427"/>
      <c r="DD30" s="441">
        <v>1085</v>
      </c>
      <c r="DE30" s="425"/>
      <c r="DF30" s="427"/>
      <c r="DG30" s="441">
        <v>1036</v>
      </c>
      <c r="DH30" s="425"/>
      <c r="DI30" s="427"/>
      <c r="DJ30" s="441">
        <v>995</v>
      </c>
      <c r="DK30" s="425"/>
      <c r="DL30" s="427"/>
      <c r="DM30" s="441">
        <v>955</v>
      </c>
      <c r="DN30" s="425"/>
      <c r="DO30" s="427"/>
      <c r="DP30" s="441">
        <v>882</v>
      </c>
      <c r="DQ30" s="425"/>
      <c r="DR30" s="427"/>
      <c r="DS30" s="441">
        <v>810</v>
      </c>
      <c r="DT30" s="425"/>
      <c r="DU30" s="427"/>
      <c r="DV30" s="441">
        <v>743</v>
      </c>
      <c r="DW30" s="425"/>
      <c r="DX30" s="427"/>
      <c r="DY30" s="441">
        <v>680</v>
      </c>
      <c r="DZ30" s="425"/>
      <c r="EA30" s="427"/>
      <c r="EB30" s="441">
        <v>647</v>
      </c>
      <c r="EC30" s="425"/>
      <c r="ED30" s="427"/>
      <c r="EE30" s="441">
        <v>575</v>
      </c>
      <c r="EF30" s="425"/>
      <c r="EG30" s="427"/>
      <c r="EH30" s="441">
        <v>533</v>
      </c>
      <c r="EI30" s="425"/>
      <c r="EJ30" s="427"/>
      <c r="EK30" s="441">
        <v>512</v>
      </c>
      <c r="EL30" s="425"/>
      <c r="EM30" s="427"/>
      <c r="EN30" s="441">
        <v>522</v>
      </c>
      <c r="EO30" s="425"/>
      <c r="EP30" s="427"/>
      <c r="EQ30" s="441">
        <v>528</v>
      </c>
      <c r="ER30" s="425"/>
      <c r="ES30" s="427"/>
      <c r="ET30" s="441">
        <v>546</v>
      </c>
      <c r="EU30" s="425"/>
      <c r="EV30" s="427"/>
      <c r="EW30" s="441">
        <v>521</v>
      </c>
      <c r="EX30" s="425"/>
      <c r="EY30" s="427"/>
      <c r="EZ30" s="441">
        <v>558</v>
      </c>
      <c r="FA30" s="425"/>
      <c r="FB30" s="427"/>
      <c r="FC30" s="441">
        <v>530</v>
      </c>
      <c r="FD30" s="425"/>
      <c r="FE30" s="427"/>
      <c r="FF30" s="441">
        <v>34</v>
      </c>
      <c r="FG30" s="425"/>
      <c r="FH30" s="427"/>
      <c r="FI30" s="441">
        <v>20</v>
      </c>
      <c r="FJ30" s="425"/>
      <c r="FK30" s="427"/>
      <c r="FL30" s="441">
        <v>20</v>
      </c>
      <c r="FM30" s="425"/>
      <c r="FN30" s="427"/>
      <c r="FO30" s="441">
        <v>5</v>
      </c>
      <c r="FP30" s="425"/>
      <c r="FQ30" s="427"/>
      <c r="FR30" s="441">
        <v>6</v>
      </c>
      <c r="FS30" s="425"/>
      <c r="FT30" s="427"/>
      <c r="FU30" s="441">
        <v>0</v>
      </c>
      <c r="FV30" s="425"/>
      <c r="FW30" s="427"/>
      <c r="FX30" s="441">
        <v>0</v>
      </c>
      <c r="FY30" s="425"/>
      <c r="FZ30" s="427"/>
      <c r="GA30" s="441">
        <v>0</v>
      </c>
      <c r="GB30" s="425"/>
      <c r="GC30" s="427"/>
      <c r="GD30" s="441">
        <v>0</v>
      </c>
      <c r="GE30" s="425"/>
      <c r="GF30" s="427"/>
      <c r="GG30" s="441">
        <v>0</v>
      </c>
      <c r="GH30" s="425"/>
      <c r="GI30" s="440"/>
      <c r="GJ30" s="438">
        <v>0</v>
      </c>
      <c r="GK30" s="439"/>
      <c r="GL30" s="440"/>
      <c r="GM30" s="438">
        <v>0</v>
      </c>
      <c r="GN30" s="439"/>
      <c r="GO30" s="427"/>
      <c r="GP30" s="438">
        <v>0</v>
      </c>
      <c r="GQ30" s="425"/>
      <c r="GR30" s="427"/>
      <c r="GS30" s="438">
        <v>0</v>
      </c>
      <c r="GT30" s="425"/>
      <c r="GU30" s="427"/>
      <c r="GV30" s="438">
        <v>0</v>
      </c>
      <c r="GW30" s="425"/>
      <c r="GX30" s="427"/>
      <c r="GY30" s="438">
        <v>0</v>
      </c>
      <c r="GZ30" s="425"/>
      <c r="HA30" s="427"/>
      <c r="HB30" s="438">
        <v>0</v>
      </c>
      <c r="HC30" s="425"/>
      <c r="HD30" s="427"/>
      <c r="HE30" s="438">
        <v>0</v>
      </c>
      <c r="HF30" s="425"/>
    </row>
    <row r="31" spans="1:214" ht="17.399999999999999" customHeight="1" x14ac:dyDescent="0.3">
      <c r="A31" s="437"/>
      <c r="B31" s="436"/>
      <c r="C31" s="435"/>
      <c r="D31" s="434"/>
      <c r="E31" s="436"/>
      <c r="F31" s="435"/>
      <c r="G31" s="434"/>
      <c r="H31" s="436"/>
      <c r="I31" s="435"/>
      <c r="J31" s="434"/>
      <c r="K31" s="436"/>
      <c r="L31" s="435"/>
      <c r="M31" s="434"/>
      <c r="N31" s="436"/>
      <c r="O31" s="435"/>
      <c r="P31" s="434"/>
      <c r="Q31" s="433"/>
      <c r="R31" s="431"/>
      <c r="S31" s="432"/>
      <c r="T31" s="430"/>
      <c r="U31" s="431"/>
      <c r="V31" s="428"/>
      <c r="W31" s="430"/>
      <c r="X31" s="431"/>
      <c r="Y31" s="428"/>
      <c r="Z31" s="430"/>
      <c r="AA31" s="431"/>
      <c r="AB31" s="428"/>
      <c r="AC31" s="430"/>
      <c r="AD31" s="429"/>
      <c r="AE31" s="428"/>
      <c r="AF31" s="430"/>
      <c r="AG31" s="429"/>
      <c r="AH31" s="428"/>
      <c r="AI31" s="430"/>
      <c r="AJ31" s="429"/>
      <c r="AK31" s="428"/>
      <c r="AL31" s="430"/>
      <c r="AM31" s="429"/>
      <c r="AN31" s="428"/>
      <c r="AO31" s="430"/>
      <c r="AP31" s="429"/>
      <c r="AQ31" s="428"/>
      <c r="AR31" s="430"/>
      <c r="AS31" s="429"/>
      <c r="AT31" s="428"/>
      <c r="AU31" s="427"/>
      <c r="AV31" s="426"/>
      <c r="AW31" s="425"/>
      <c r="AX31" s="427"/>
      <c r="AY31" s="426"/>
      <c r="AZ31" s="425"/>
      <c r="BA31" s="427"/>
      <c r="BB31" s="426"/>
      <c r="BC31" s="425"/>
      <c r="BD31" s="427"/>
      <c r="BE31" s="426"/>
      <c r="BF31" s="425"/>
      <c r="BG31" s="427"/>
      <c r="BH31" s="426"/>
      <c r="BI31" s="425"/>
      <c r="BJ31" s="427"/>
      <c r="BK31" s="426"/>
      <c r="BL31" s="425"/>
      <c r="BM31" s="427"/>
      <c r="BN31" s="426"/>
      <c r="BO31" s="425"/>
      <c r="BP31" s="427"/>
      <c r="BQ31" s="426"/>
      <c r="BR31" s="425"/>
      <c r="BS31" s="427"/>
      <c r="BT31" s="426"/>
      <c r="BU31" s="425"/>
      <c r="BV31" s="427"/>
      <c r="BW31" s="426"/>
      <c r="BX31" s="425"/>
      <c r="BY31" s="427"/>
      <c r="BZ31" s="426"/>
      <c r="CA31" s="425"/>
      <c r="CB31" s="427"/>
      <c r="CC31" s="426"/>
      <c r="CD31" s="425"/>
      <c r="CE31" s="427"/>
      <c r="CF31" s="426"/>
      <c r="CG31" s="425"/>
      <c r="CH31" s="427"/>
      <c r="CI31" s="426"/>
      <c r="CJ31" s="425"/>
      <c r="CK31" s="427"/>
      <c r="CL31" s="426"/>
      <c r="CM31" s="425"/>
      <c r="CN31" s="427"/>
      <c r="CO31" s="426"/>
      <c r="CP31" s="425"/>
      <c r="CQ31" s="427"/>
      <c r="CR31" s="426"/>
      <c r="CS31" s="425"/>
      <c r="CT31" s="427"/>
      <c r="CU31" s="426"/>
      <c r="CV31" s="425"/>
      <c r="CW31" s="427"/>
      <c r="CX31" s="426"/>
      <c r="CY31" s="425"/>
      <c r="CZ31" s="427"/>
      <c r="DA31" s="426"/>
      <c r="DB31" s="425"/>
      <c r="DC31" s="427"/>
      <c r="DD31" s="426"/>
      <c r="DE31" s="425"/>
      <c r="DF31" s="427"/>
      <c r="DG31" s="426"/>
      <c r="DH31" s="425"/>
      <c r="DI31" s="427"/>
      <c r="DJ31" s="426"/>
      <c r="DK31" s="425"/>
      <c r="DL31" s="427"/>
      <c r="DM31" s="426"/>
      <c r="DN31" s="425"/>
      <c r="DO31" s="427"/>
      <c r="DP31" s="426"/>
      <c r="DQ31" s="425"/>
      <c r="DR31" s="427"/>
      <c r="DS31" s="426"/>
      <c r="DT31" s="425"/>
      <c r="DU31" s="427"/>
      <c r="DV31" s="426"/>
      <c r="DW31" s="425"/>
      <c r="DX31" s="427"/>
      <c r="DY31" s="426"/>
      <c r="DZ31" s="425"/>
      <c r="EA31" s="427"/>
      <c r="EB31" s="426"/>
      <c r="EC31" s="425"/>
      <c r="ED31" s="427"/>
      <c r="EE31" s="426"/>
      <c r="EF31" s="425"/>
      <c r="EG31" s="427"/>
      <c r="EH31" s="426"/>
      <c r="EI31" s="425"/>
      <c r="EJ31" s="427"/>
      <c r="EK31" s="426"/>
      <c r="EL31" s="425"/>
      <c r="EM31" s="427"/>
      <c r="EN31" s="426"/>
      <c r="EO31" s="425"/>
      <c r="EP31" s="427"/>
      <c r="EQ31" s="426"/>
      <c r="ER31" s="425"/>
      <c r="ES31" s="427"/>
      <c r="ET31" s="426"/>
      <c r="EU31" s="425"/>
      <c r="EV31" s="427"/>
      <c r="EW31" s="426"/>
      <c r="EX31" s="425"/>
      <c r="EY31" s="427"/>
      <c r="EZ31" s="426"/>
      <c r="FA31" s="425"/>
      <c r="FB31" s="427"/>
      <c r="FC31" s="426"/>
      <c r="FD31" s="425"/>
      <c r="FE31" s="427"/>
      <c r="FF31" s="426"/>
      <c r="FG31" s="425"/>
      <c r="FH31" s="427"/>
      <c r="FI31" s="426"/>
      <c r="FJ31" s="425"/>
      <c r="FK31" s="427"/>
      <c r="FL31" s="426"/>
      <c r="FM31" s="425"/>
      <c r="FN31" s="427"/>
      <c r="FO31" s="426"/>
      <c r="FP31" s="425"/>
      <c r="FQ31" s="427"/>
      <c r="FR31" s="426"/>
      <c r="FS31" s="425"/>
      <c r="FT31" s="427"/>
      <c r="FU31" s="426"/>
      <c r="FV31" s="425"/>
      <c r="FW31" s="427"/>
      <c r="FX31" s="426"/>
      <c r="FY31" s="425"/>
      <c r="FZ31" s="427"/>
      <c r="GA31" s="426"/>
      <c r="GB31" s="425"/>
      <c r="GC31" s="427"/>
      <c r="GD31" s="426"/>
      <c r="GE31" s="425"/>
      <c r="GF31" s="427"/>
      <c r="GG31" s="426"/>
      <c r="GH31" s="425"/>
      <c r="GI31" s="427"/>
      <c r="GJ31" s="426"/>
      <c r="GK31" s="425"/>
      <c r="GL31" s="427"/>
      <c r="GM31" s="426"/>
      <c r="GN31" s="425"/>
      <c r="GO31" s="427"/>
      <c r="GP31" s="426"/>
      <c r="GQ31" s="425"/>
      <c r="GR31" s="427"/>
      <c r="GS31" s="426"/>
      <c r="GT31" s="425"/>
      <c r="GU31" s="427"/>
      <c r="GV31" s="426"/>
      <c r="GW31" s="425"/>
      <c r="GX31" s="427"/>
      <c r="GY31" s="426"/>
      <c r="GZ31" s="425"/>
      <c r="HA31" s="427"/>
      <c r="HB31" s="426"/>
      <c r="HC31" s="425"/>
      <c r="HD31" s="427"/>
      <c r="HE31" s="426"/>
      <c r="HF31" s="425"/>
    </row>
    <row r="32" spans="1:214" s="414" customFormat="1" ht="18.75" customHeight="1" thickBot="1" x14ac:dyDescent="0.35">
      <c r="A32" s="424" t="s">
        <v>515</v>
      </c>
      <c r="B32" s="422"/>
      <c r="C32" s="423">
        <v>8122489</v>
      </c>
      <c r="D32" s="421"/>
      <c r="E32" s="422"/>
      <c r="F32" s="423">
        <v>8413683</v>
      </c>
      <c r="G32" s="421"/>
      <c r="H32" s="422"/>
      <c r="I32" s="423">
        <v>8238629</v>
      </c>
      <c r="J32" s="421"/>
      <c r="K32" s="422"/>
      <c r="L32" s="423">
        <v>8109000</v>
      </c>
      <c r="M32" s="421"/>
      <c r="N32" s="422"/>
      <c r="O32" s="423">
        <v>7960000</v>
      </c>
      <c r="P32" s="421"/>
      <c r="Q32" s="422"/>
      <c r="R32" s="419">
        <v>10281</v>
      </c>
      <c r="S32" s="421"/>
      <c r="T32" s="420"/>
      <c r="U32" s="419">
        <v>11075</v>
      </c>
      <c r="V32" s="418"/>
      <c r="W32" s="420"/>
      <c r="X32" s="419">
        <v>9961</v>
      </c>
      <c r="Y32" s="418"/>
      <c r="Z32" s="420"/>
      <c r="AA32" s="419">
        <v>9632</v>
      </c>
      <c r="AB32" s="418"/>
      <c r="AC32" s="420"/>
      <c r="AD32" s="419">
        <v>8917</v>
      </c>
      <c r="AE32" s="418"/>
      <c r="AF32" s="420"/>
      <c r="AG32" s="419">
        <v>8409</v>
      </c>
      <c r="AH32" s="418"/>
      <c r="AI32" s="420"/>
      <c r="AJ32" s="419">
        <v>7740</v>
      </c>
      <c r="AK32" s="418"/>
      <c r="AL32" s="420"/>
      <c r="AM32" s="419">
        <v>8453</v>
      </c>
      <c r="AN32" s="418"/>
      <c r="AO32" s="420"/>
      <c r="AP32" s="419">
        <v>11364</v>
      </c>
      <c r="AQ32" s="418"/>
      <c r="AR32" s="420"/>
      <c r="AS32" s="419">
        <v>11309</v>
      </c>
      <c r="AT32" s="418"/>
      <c r="AU32" s="417"/>
      <c r="AV32" s="416">
        <v>11062</v>
      </c>
      <c r="AW32" s="415"/>
      <c r="AX32" s="417"/>
      <c r="AY32" s="416">
        <v>11326</v>
      </c>
      <c r="AZ32" s="415"/>
      <c r="BA32" s="417"/>
      <c r="BB32" s="416">
        <v>11068</v>
      </c>
      <c r="BC32" s="415"/>
      <c r="BD32" s="417"/>
      <c r="BE32" s="416">
        <v>11153</v>
      </c>
      <c r="BF32" s="415"/>
      <c r="BG32" s="417"/>
      <c r="BH32" s="416">
        <v>11165</v>
      </c>
      <c r="BI32" s="415"/>
      <c r="BJ32" s="417"/>
      <c r="BK32" s="416">
        <v>10999</v>
      </c>
      <c r="BL32" s="415"/>
      <c r="BM32" s="417"/>
      <c r="BN32" s="416">
        <v>10729</v>
      </c>
      <c r="BO32" s="415"/>
      <c r="BP32" s="417"/>
      <c r="BQ32" s="416">
        <v>11088</v>
      </c>
      <c r="BR32" s="415"/>
      <c r="BS32" s="417"/>
      <c r="BT32" s="416">
        <v>10987</v>
      </c>
      <c r="BU32" s="415"/>
      <c r="BV32" s="417"/>
      <c r="BW32" s="416">
        <v>11097</v>
      </c>
      <c r="BX32" s="415"/>
      <c r="BY32" s="417"/>
      <c r="BZ32" s="416">
        <v>11431</v>
      </c>
      <c r="CA32" s="415"/>
      <c r="CB32" s="417"/>
      <c r="CC32" s="416">
        <v>12685</v>
      </c>
      <c r="CD32" s="415"/>
      <c r="CE32" s="417"/>
      <c r="CF32" s="416">
        <v>12754</v>
      </c>
      <c r="CG32" s="415"/>
      <c r="CH32" s="417"/>
      <c r="CI32" s="416">
        <v>12795</v>
      </c>
      <c r="CJ32" s="415"/>
      <c r="CK32" s="417"/>
      <c r="CL32" s="416">
        <v>12800</v>
      </c>
      <c r="CM32" s="415"/>
      <c r="CN32" s="417"/>
      <c r="CO32" s="416">
        <v>12387</v>
      </c>
      <c r="CP32" s="415"/>
      <c r="CQ32" s="417"/>
      <c r="CR32" s="416">
        <v>12431.6</v>
      </c>
      <c r="CS32" s="415"/>
      <c r="CT32" s="417"/>
      <c r="CU32" s="416">
        <v>12569</v>
      </c>
      <c r="CV32" s="415"/>
      <c r="CW32" s="417"/>
      <c r="CX32" s="416">
        <v>12487</v>
      </c>
      <c r="CY32" s="415"/>
      <c r="CZ32" s="417"/>
      <c r="DA32" s="416">
        <v>11971</v>
      </c>
      <c r="DB32" s="415"/>
      <c r="DC32" s="417"/>
      <c r="DD32" s="416">
        <v>12711</v>
      </c>
      <c r="DE32" s="415"/>
      <c r="DF32" s="417"/>
      <c r="DG32" s="416">
        <v>12086</v>
      </c>
      <c r="DH32" s="415"/>
      <c r="DI32" s="417"/>
      <c r="DJ32" s="416">
        <v>12258</v>
      </c>
      <c r="DK32" s="415"/>
      <c r="DL32" s="417"/>
      <c r="DM32" s="416">
        <v>11773</v>
      </c>
      <c r="DN32" s="415"/>
      <c r="DO32" s="417"/>
      <c r="DP32" s="416">
        <v>12804</v>
      </c>
      <c r="DQ32" s="415"/>
      <c r="DR32" s="417"/>
      <c r="DS32" s="416">
        <v>12942</v>
      </c>
      <c r="DT32" s="415"/>
      <c r="DU32" s="417"/>
      <c r="DV32" s="416">
        <v>12913</v>
      </c>
      <c r="DW32" s="415"/>
      <c r="DX32" s="417"/>
      <c r="DY32" s="416">
        <v>12461</v>
      </c>
      <c r="DZ32" s="415"/>
      <c r="EA32" s="417"/>
      <c r="EB32" s="416">
        <v>12724</v>
      </c>
      <c r="EC32" s="415"/>
      <c r="ED32" s="417"/>
      <c r="EE32" s="416">
        <v>12424</v>
      </c>
      <c r="EF32" s="415"/>
      <c r="EG32" s="417"/>
      <c r="EH32" s="416">
        <v>16534</v>
      </c>
      <c r="EI32" s="415"/>
      <c r="EJ32" s="417"/>
      <c r="EK32" s="416">
        <v>19596.099999999999</v>
      </c>
      <c r="EL32" s="415"/>
      <c r="EM32" s="417"/>
      <c r="EN32" s="416">
        <v>21064</v>
      </c>
      <c r="EO32" s="415"/>
      <c r="EP32" s="417"/>
      <c r="EQ32" s="416">
        <v>21630</v>
      </c>
      <c r="ER32" s="415"/>
      <c r="ES32" s="417"/>
      <c r="ET32" s="416">
        <v>22517</v>
      </c>
      <c r="EU32" s="415"/>
      <c r="EV32" s="417"/>
      <c r="EW32" s="416">
        <v>23469</v>
      </c>
      <c r="EX32" s="415"/>
      <c r="EY32" s="417"/>
      <c r="EZ32" s="416">
        <v>25693</v>
      </c>
      <c r="FA32" s="415"/>
      <c r="FB32" s="417"/>
      <c r="FC32" s="416">
        <v>25846.7</v>
      </c>
      <c r="FD32" s="415"/>
      <c r="FE32" s="417"/>
      <c r="FF32" s="416">
        <v>26494.27</v>
      </c>
      <c r="FG32" s="415"/>
      <c r="FH32" s="417"/>
      <c r="FI32" s="416">
        <v>26934.89</v>
      </c>
      <c r="FJ32" s="415"/>
      <c r="FK32" s="417"/>
      <c r="FL32" s="416">
        <v>28713</v>
      </c>
      <c r="FM32" s="415"/>
      <c r="FN32" s="417"/>
      <c r="FO32" s="416">
        <v>28979</v>
      </c>
      <c r="FP32" s="415"/>
      <c r="FQ32" s="417"/>
      <c r="FR32" s="416">
        <v>30073</v>
      </c>
      <c r="FS32" s="415"/>
      <c r="FT32" s="417"/>
      <c r="FU32" s="416">
        <v>31244</v>
      </c>
      <c r="FV32" s="415"/>
      <c r="FW32" s="417"/>
      <c r="FX32" s="416">
        <v>31394</v>
      </c>
      <c r="FY32" s="415"/>
      <c r="FZ32" s="417"/>
      <c r="GA32" s="416">
        <v>29519.1</v>
      </c>
      <c r="GB32" s="415"/>
      <c r="GC32" s="417"/>
      <c r="GD32" s="416">
        <v>29486.400000000001</v>
      </c>
      <c r="GE32" s="415"/>
      <c r="GF32" s="417"/>
      <c r="GG32" s="416">
        <v>30381.5</v>
      </c>
      <c r="GH32" s="415"/>
      <c r="GI32" s="417"/>
      <c r="GJ32" s="416">
        <v>30728</v>
      </c>
      <c r="GK32" s="415"/>
      <c r="GL32" s="417"/>
      <c r="GM32" s="416">
        <v>28944.400000000001</v>
      </c>
      <c r="GN32" s="415"/>
      <c r="GO32" s="417"/>
      <c r="GP32" s="416">
        <v>29579.82</v>
      </c>
      <c r="GQ32" s="415"/>
      <c r="GR32" s="417"/>
      <c r="GS32" s="416">
        <v>27825</v>
      </c>
      <c r="GT32" s="415"/>
      <c r="GU32" s="417"/>
      <c r="GV32" s="416">
        <v>27426.94</v>
      </c>
      <c r="GW32" s="415"/>
      <c r="GX32" s="417"/>
      <c r="GY32" s="416">
        <v>27454.219000000001</v>
      </c>
      <c r="GZ32" s="415"/>
      <c r="HA32" s="417"/>
      <c r="HB32" s="416">
        <v>27813</v>
      </c>
      <c r="HC32" s="415"/>
      <c r="HD32" s="417"/>
      <c r="HE32" s="416">
        <v>27993</v>
      </c>
      <c r="HF32" s="415"/>
    </row>
    <row r="33" spans="1:214" ht="18.75" customHeight="1" thickTop="1" x14ac:dyDescent="0.3">
      <c r="A33" s="1313" t="s">
        <v>111</v>
      </c>
      <c r="B33" s="1313"/>
      <c r="C33" s="1313"/>
      <c r="D33" s="1313"/>
      <c r="E33" s="1313"/>
      <c r="F33" s="1313"/>
      <c r="G33" s="1313"/>
      <c r="H33" s="1313"/>
      <c r="I33" s="1313"/>
      <c r="J33" s="1313"/>
      <c r="K33" s="1313"/>
      <c r="L33" s="1313"/>
      <c r="M33" s="1313"/>
      <c r="N33" s="1313"/>
      <c r="O33" s="1313"/>
      <c r="P33" s="1313"/>
      <c r="Q33" s="1313"/>
      <c r="R33" s="1313"/>
      <c r="S33" s="1313"/>
      <c r="T33" s="1313"/>
      <c r="U33" s="1313"/>
      <c r="V33" s="1313"/>
      <c r="W33" s="1313"/>
      <c r="X33" s="1313"/>
      <c r="Y33" s="1313"/>
      <c r="Z33" s="1313"/>
      <c r="AA33" s="1313"/>
      <c r="AB33" s="1313"/>
      <c r="AC33" s="1313"/>
      <c r="AD33" s="1313"/>
      <c r="AE33" s="1313"/>
      <c r="AF33" s="1313"/>
      <c r="AG33" s="1313"/>
      <c r="AH33" s="1313"/>
      <c r="AI33" s="1313"/>
      <c r="AJ33" s="1313"/>
      <c r="AK33" s="1313"/>
      <c r="AL33" s="1313"/>
      <c r="AM33" s="1313"/>
      <c r="AN33" s="1313"/>
      <c r="AO33" s="1313"/>
      <c r="AP33" s="1313"/>
      <c r="AQ33" s="1313"/>
      <c r="AR33" s="1313"/>
      <c r="AS33" s="1313"/>
      <c r="AT33" s="1313"/>
      <c r="AU33" s="1313"/>
      <c r="AV33" s="1313"/>
      <c r="AW33" s="1313"/>
      <c r="AX33" s="1313"/>
      <c r="AY33" s="1313"/>
      <c r="AZ33" s="1313"/>
      <c r="BA33" s="1313"/>
      <c r="BB33" s="1313"/>
      <c r="BC33" s="1313"/>
      <c r="BD33" s="1313"/>
      <c r="BE33" s="1313"/>
      <c r="BF33" s="1313"/>
      <c r="BG33" s="1313"/>
      <c r="BH33" s="1313"/>
      <c r="BI33" s="1313"/>
      <c r="BJ33" s="1313"/>
      <c r="BK33" s="1313"/>
      <c r="BL33" s="1313"/>
      <c r="BM33" s="1313"/>
      <c r="BN33" s="1313"/>
      <c r="BO33" s="1313"/>
      <c r="BP33" s="1313"/>
      <c r="BQ33" s="1313"/>
      <c r="BR33" s="1313"/>
      <c r="BS33" s="1313"/>
      <c r="BT33" s="1313"/>
      <c r="BU33" s="1313"/>
      <c r="BV33" s="1313"/>
      <c r="BW33" s="1313"/>
      <c r="BX33" s="1313"/>
      <c r="BY33" s="1313"/>
      <c r="BZ33" s="1313"/>
      <c r="CA33" s="1313"/>
      <c r="CB33" s="1313"/>
      <c r="CC33" s="1313"/>
      <c r="CD33" s="1313"/>
      <c r="CE33" s="1313"/>
      <c r="CF33" s="1313"/>
      <c r="CG33" s="1313"/>
      <c r="CH33" s="1313"/>
      <c r="CI33" s="1313"/>
      <c r="CJ33" s="1313"/>
      <c r="CK33" s="1313"/>
      <c r="CL33" s="1313"/>
      <c r="CM33" s="1313"/>
      <c r="CN33" s="1313"/>
      <c r="CO33" s="1313"/>
      <c r="CP33" s="1313"/>
      <c r="CQ33" s="1313"/>
      <c r="CR33" s="1313"/>
      <c r="CS33" s="1313"/>
      <c r="CT33" s="1313"/>
      <c r="CU33" s="1313"/>
      <c r="CV33" s="1313"/>
      <c r="CW33" s="1313"/>
      <c r="CX33" s="1313"/>
      <c r="CY33" s="1313"/>
      <c r="CZ33" s="1313"/>
      <c r="DA33" s="1313"/>
      <c r="DB33" s="1313"/>
      <c r="DC33" s="1313"/>
      <c r="DD33" s="1313"/>
      <c r="DE33" s="1313"/>
      <c r="DF33" s="1313"/>
      <c r="DG33" s="1313"/>
      <c r="DH33" s="1313"/>
      <c r="DI33" s="1313"/>
      <c r="DJ33" s="1313"/>
      <c r="DK33" s="1313"/>
      <c r="DL33" s="1313"/>
      <c r="DM33" s="1313"/>
      <c r="DN33" s="1313"/>
      <c r="DO33" s="1313"/>
      <c r="DP33" s="1313"/>
      <c r="DQ33" s="1313"/>
      <c r="DR33" s="1313"/>
      <c r="DS33" s="1313"/>
      <c r="DT33" s="1313"/>
      <c r="DU33" s="1313"/>
      <c r="DV33" s="1313"/>
      <c r="DW33" s="1313"/>
      <c r="DX33" s="1313"/>
      <c r="DY33" s="1313"/>
      <c r="DZ33" s="1313"/>
      <c r="EA33" s="1313"/>
      <c r="EB33" s="1313"/>
      <c r="EC33" s="1313"/>
      <c r="ED33" s="1313"/>
      <c r="EE33" s="1313"/>
      <c r="EF33" s="1313"/>
      <c r="EG33" s="1313"/>
      <c r="EH33" s="1313"/>
      <c r="EI33" s="1313"/>
      <c r="EJ33" s="1313"/>
      <c r="EK33" s="1313"/>
      <c r="EL33" s="1313"/>
      <c r="EM33" s="1313"/>
      <c r="EN33" s="1313"/>
      <c r="EO33" s="1313"/>
      <c r="EP33" s="1313"/>
      <c r="EQ33" s="1313"/>
      <c r="ER33" s="1313"/>
      <c r="ES33" s="1313"/>
      <c r="ET33" s="1313"/>
      <c r="EU33" s="1313"/>
      <c r="EV33" s="1313"/>
      <c r="EW33" s="1313"/>
      <c r="EX33" s="1313"/>
      <c r="EY33" s="1313"/>
      <c r="EZ33" s="1313"/>
      <c r="FA33" s="1313"/>
      <c r="FB33" s="1313"/>
      <c r="FC33" s="1313"/>
      <c r="FD33" s="1313"/>
      <c r="FE33" s="1313"/>
      <c r="FF33" s="1313"/>
      <c r="FG33" s="1313"/>
      <c r="FH33" s="1313"/>
      <c r="FI33" s="1313"/>
      <c r="FJ33" s="1313"/>
      <c r="FK33" s="1313"/>
      <c r="FL33" s="1313"/>
      <c r="FM33" s="1313"/>
      <c r="FN33" s="1313"/>
      <c r="FO33" s="1313"/>
      <c r="FP33" s="1313"/>
      <c r="FQ33" s="1313"/>
      <c r="FR33" s="1313"/>
      <c r="FS33" s="1313"/>
      <c r="FT33" s="1313"/>
      <c r="FU33" s="1313"/>
      <c r="FV33" s="1313"/>
      <c r="FW33" s="1313"/>
      <c r="FX33" s="1313"/>
      <c r="FY33" s="1313"/>
      <c r="FZ33" s="1313"/>
      <c r="GA33" s="1313"/>
      <c r="GB33" s="1313"/>
      <c r="GC33" s="1313"/>
      <c r="GD33" s="1313"/>
      <c r="GE33" s="1313"/>
      <c r="GF33" s="1313"/>
      <c r="GG33" s="1313"/>
      <c r="GH33" s="1313"/>
      <c r="GI33" s="1313"/>
      <c r="GJ33" s="1313"/>
      <c r="GK33" s="1313"/>
      <c r="GL33" s="1313"/>
      <c r="GM33" s="1313"/>
      <c r="GN33" s="1313"/>
      <c r="GO33" s="1313"/>
      <c r="GP33" s="1313"/>
      <c r="GQ33" s="1313"/>
      <c r="GR33" s="1313"/>
      <c r="GS33" s="1313"/>
      <c r="GT33" s="1313"/>
      <c r="GU33" s="1313"/>
      <c r="GV33" s="1313"/>
      <c r="GW33" s="1313"/>
      <c r="GX33" s="1313"/>
      <c r="GY33" s="1313"/>
      <c r="GZ33" s="1313"/>
      <c r="HA33" s="1313"/>
      <c r="HB33" s="1313"/>
      <c r="HC33" s="1313"/>
      <c r="HD33" s="1313"/>
      <c r="HE33" s="1313"/>
      <c r="HF33" s="1313"/>
    </row>
    <row r="39" spans="1:214" x14ac:dyDescent="0.3">
      <c r="P39" s="1" t="s">
        <v>514</v>
      </c>
    </row>
  </sheetData>
  <mergeCells count="52">
    <mergeCell ref="HA5:HC5"/>
    <mergeCell ref="GR4:HC4"/>
    <mergeCell ref="A4:A5"/>
    <mergeCell ref="B4:G4"/>
    <mergeCell ref="H4:S4"/>
    <mergeCell ref="T4:AE4"/>
    <mergeCell ref="AF4:AQ4"/>
    <mergeCell ref="AR4:BC4"/>
    <mergeCell ref="BD4:BO4"/>
    <mergeCell ref="BP4:CA4"/>
    <mergeCell ref="CB4:CM4"/>
    <mergeCell ref="CN4:CY4"/>
    <mergeCell ref="CZ4:DK4"/>
    <mergeCell ref="DL4:DW4"/>
    <mergeCell ref="DX4:EI4"/>
    <mergeCell ref="EJ4:EU4"/>
    <mergeCell ref="EM5:EO5"/>
    <mergeCell ref="EP5:ER5"/>
    <mergeCell ref="ES5:EU5"/>
    <mergeCell ref="DX5:DZ5"/>
    <mergeCell ref="EA5:EC5"/>
    <mergeCell ref="ED5:EF5"/>
    <mergeCell ref="EG5:EI5"/>
    <mergeCell ref="EJ5:EL5"/>
    <mergeCell ref="FB5:FD5"/>
    <mergeCell ref="GI5:GK5"/>
    <mergeCell ref="EV5:EX5"/>
    <mergeCell ref="EY5:FA5"/>
    <mergeCell ref="FE5:FG5"/>
    <mergeCell ref="FH5:FJ5"/>
    <mergeCell ref="FK5:FM5"/>
    <mergeCell ref="FN5:FP5"/>
    <mergeCell ref="FQ5:FS5"/>
    <mergeCell ref="FT5:FV5"/>
    <mergeCell ref="FW5:FY5"/>
    <mergeCell ref="FZ5:GB5"/>
    <mergeCell ref="A1:HF1"/>
    <mergeCell ref="A2:HF2"/>
    <mergeCell ref="A33:HF33"/>
    <mergeCell ref="GC5:GE5"/>
    <mergeCell ref="GF5:GH5"/>
    <mergeCell ref="GL5:GN5"/>
    <mergeCell ref="HD5:HF5"/>
    <mergeCell ref="HD4:HF4"/>
    <mergeCell ref="GX5:GZ5"/>
    <mergeCell ref="GO5:GQ5"/>
    <mergeCell ref="GR5:GT5"/>
    <mergeCell ref="GU5:GW5"/>
    <mergeCell ref="EV4:FG4"/>
    <mergeCell ref="FH4:FS4"/>
    <mergeCell ref="FT4:GE4"/>
    <mergeCell ref="GF4:GQ4"/>
  </mergeCells>
  <pageMargins left="0.45" right="0.19" top="0.83" bottom="0.98425196850393704" header="0.511811023622047" footer="0.511811023622047"/>
  <pageSetup paperSize="9" scale="9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R31"/>
  <sheetViews>
    <sheetView showGridLines="0" zoomScale="110" zoomScaleNormal="110" workbookViewId="0">
      <pane xSplit="21" ySplit="4" topLeftCell="V5" activePane="bottomRight" state="frozen"/>
      <selection pane="topRight" activeCell="V1" sqref="V1"/>
      <selection pane="bottomLeft" activeCell="A5" sqref="A5"/>
      <selection pane="bottomRight" activeCell="BT20" sqref="BT20"/>
    </sheetView>
  </sheetViews>
  <sheetFormatPr defaultColWidth="9.08984375" defaultRowHeight="14" x14ac:dyDescent="0.3"/>
  <cols>
    <col min="1" max="1" width="52.08984375" style="104" customWidth="1"/>
    <col min="2" max="2" width="10.08984375" style="104" hidden="1" customWidth="1"/>
    <col min="3" max="4" width="10.453125" style="104" hidden="1" customWidth="1"/>
    <col min="5" max="6" width="9.453125" style="104" hidden="1" customWidth="1"/>
    <col min="7" max="7" width="9.36328125" style="104" hidden="1" customWidth="1"/>
    <col min="8" max="8" width="10" style="104" hidden="1" customWidth="1"/>
    <col min="9" max="9" width="9.6328125" style="539" hidden="1" customWidth="1"/>
    <col min="10" max="10" width="9.08984375" style="539" hidden="1" customWidth="1"/>
    <col min="11" max="11" width="10.36328125" style="539" hidden="1" customWidth="1"/>
    <col min="12" max="12" width="10.453125" style="104" hidden="1" customWidth="1"/>
    <col min="13" max="13" width="9" style="104" hidden="1" customWidth="1"/>
    <col min="14" max="14" width="9" style="539" hidden="1" customWidth="1"/>
    <col min="15" max="17" width="9.08984375" style="539" hidden="1" customWidth="1"/>
    <col min="18" max="18" width="8.6328125" style="539" hidden="1" customWidth="1"/>
    <col min="19" max="19" width="8.453125" style="539" hidden="1" customWidth="1"/>
    <col min="20" max="21" width="8.6328125" style="104" hidden="1" customWidth="1"/>
    <col min="22" max="22" width="9.08984375" style="104" hidden="1" customWidth="1"/>
    <col min="23" max="23" width="9" style="104" hidden="1" customWidth="1"/>
    <col min="24" max="24" width="8.90625" style="104" hidden="1" customWidth="1"/>
    <col min="25" max="35" width="8.453125" style="104" hidden="1" customWidth="1"/>
    <col min="36" max="36" width="8.36328125" style="104" hidden="1" customWidth="1"/>
    <col min="37" max="37" width="8.453125" style="104" hidden="1" customWidth="1"/>
    <col min="38" max="38" width="9" style="104" hidden="1" customWidth="1"/>
    <col min="39" max="39" width="8.6328125" style="104" hidden="1" customWidth="1"/>
    <col min="40" max="40" width="9.08984375" style="104" hidden="1" customWidth="1"/>
    <col min="41" max="41" width="8.6328125" style="104" hidden="1" customWidth="1"/>
    <col min="42" max="42" width="8.90625" style="104" hidden="1" customWidth="1"/>
    <col min="43" max="46" width="9.90625" style="104" hidden="1" customWidth="1"/>
    <col min="47" max="47" width="9.6328125" style="104" hidden="1" customWidth="1"/>
    <col min="48" max="48" width="9" style="104" hidden="1" customWidth="1"/>
    <col min="49" max="49" width="9.36328125" style="104" hidden="1" customWidth="1"/>
    <col min="50" max="50" width="9" style="104" hidden="1" customWidth="1"/>
    <col min="51" max="52" width="9.453125" style="104" hidden="1" customWidth="1"/>
    <col min="53" max="53" width="9.36328125" style="104" hidden="1" customWidth="1"/>
    <col min="54" max="54" width="9.08984375" style="104" hidden="1" customWidth="1"/>
    <col min="55" max="55" width="9.90625" style="104" hidden="1" customWidth="1"/>
    <col min="56" max="57" width="9.453125" style="104" hidden="1" customWidth="1"/>
    <col min="58" max="58" width="8.6328125" style="104" hidden="1" customWidth="1"/>
    <col min="59" max="59" width="10" style="104" hidden="1" customWidth="1"/>
    <col min="60" max="60" width="9.36328125" style="104" hidden="1" customWidth="1"/>
    <col min="61" max="61" width="9.6328125" style="104" hidden="1" customWidth="1"/>
    <col min="62" max="63" width="10.36328125" style="104" hidden="1" customWidth="1"/>
    <col min="64" max="64" width="11.6328125" style="104" hidden="1" customWidth="1"/>
    <col min="65" max="65" width="11.36328125" style="104" hidden="1" customWidth="1"/>
    <col min="66" max="67" width="11.453125" style="104" hidden="1" customWidth="1"/>
    <col min="68" max="70" width="11.453125" style="104" customWidth="1"/>
    <col min="71" max="16384" width="9.08984375" style="104"/>
  </cols>
  <sheetData>
    <row r="1" spans="1:70" s="579" customFormat="1" ht="42" customHeight="1" x14ac:dyDescent="0.35">
      <c r="A1" s="1282" t="s">
        <v>533</v>
      </c>
      <c r="B1" s="1282"/>
      <c r="C1" s="1282"/>
      <c r="D1" s="1282"/>
      <c r="E1" s="1282"/>
      <c r="F1" s="1282"/>
      <c r="G1" s="1282"/>
      <c r="H1" s="1282"/>
      <c r="I1" s="1282"/>
      <c r="J1" s="1282"/>
      <c r="K1" s="1282"/>
      <c r="L1" s="1282"/>
      <c r="M1" s="1282"/>
      <c r="N1" s="1282"/>
      <c r="O1" s="1282"/>
      <c r="P1" s="1282"/>
      <c r="Q1" s="1282"/>
      <c r="R1" s="1282"/>
      <c r="S1" s="1282"/>
      <c r="T1" s="1282"/>
      <c r="U1" s="1282"/>
      <c r="V1" s="1282"/>
      <c r="W1" s="1282"/>
      <c r="X1" s="1282"/>
      <c r="Y1" s="1282"/>
      <c r="Z1" s="1282"/>
      <c r="AA1" s="1282"/>
      <c r="AB1" s="1282"/>
      <c r="AC1" s="1282"/>
      <c r="AD1" s="1282"/>
      <c r="AE1" s="1282"/>
      <c r="AF1" s="1282"/>
      <c r="AG1" s="1282"/>
      <c r="AH1" s="1282"/>
      <c r="AI1" s="1282"/>
      <c r="AJ1" s="1282"/>
      <c r="AK1" s="1282"/>
      <c r="AL1" s="1282"/>
      <c r="AM1" s="1282"/>
      <c r="AN1" s="1282"/>
      <c r="AO1" s="1282"/>
      <c r="AP1" s="1282"/>
      <c r="AQ1" s="1282"/>
      <c r="AR1" s="1282"/>
      <c r="AS1" s="1282"/>
      <c r="AT1" s="1282"/>
      <c r="AU1" s="1282"/>
      <c r="AV1" s="1282"/>
      <c r="AW1" s="1282"/>
      <c r="AX1" s="1282"/>
      <c r="AY1" s="1282"/>
      <c r="AZ1" s="1282"/>
      <c r="BA1" s="1282"/>
      <c r="BB1" s="1282"/>
      <c r="BC1" s="1282"/>
      <c r="BD1" s="1282"/>
      <c r="BE1" s="1282"/>
      <c r="BF1" s="1282"/>
      <c r="BG1" s="1282"/>
      <c r="BH1" s="1282"/>
      <c r="BI1" s="1282"/>
      <c r="BJ1" s="1282"/>
      <c r="BK1" s="1282"/>
      <c r="BL1" s="1282"/>
      <c r="BM1" s="1282"/>
      <c r="BN1" s="1282"/>
      <c r="BO1" s="1282"/>
      <c r="BP1" s="1282"/>
      <c r="BQ1" s="1282"/>
      <c r="BR1" s="1282"/>
    </row>
    <row r="2" spans="1:70" s="579" customFormat="1" ht="15" customHeight="1" x14ac:dyDescent="0.35">
      <c r="A2" s="582"/>
      <c r="B2" s="582"/>
      <c r="C2" s="582"/>
      <c r="D2" s="582"/>
      <c r="E2" s="582"/>
      <c r="F2" s="582"/>
      <c r="G2" s="582"/>
      <c r="H2" s="582"/>
      <c r="I2" s="582"/>
      <c r="J2" s="582"/>
      <c r="K2" s="582"/>
      <c r="L2" s="582"/>
      <c r="M2" s="582"/>
      <c r="N2" s="582"/>
      <c r="O2" s="582"/>
      <c r="P2" s="582"/>
      <c r="Q2" s="582"/>
      <c r="R2" s="582"/>
      <c r="S2" s="582"/>
      <c r="T2" s="582"/>
      <c r="U2" s="581"/>
      <c r="V2" s="581"/>
      <c r="W2" s="581"/>
      <c r="Y2" s="581"/>
      <c r="Z2" s="581"/>
      <c r="AA2" s="581"/>
      <c r="AB2" s="581"/>
      <c r="AC2" s="581"/>
      <c r="AD2" s="581"/>
      <c r="AE2" s="581"/>
      <c r="AG2" s="581"/>
      <c r="AH2" s="581"/>
      <c r="AI2" s="581"/>
      <c r="AJ2" s="581"/>
      <c r="AK2" s="580"/>
      <c r="AL2" s="580"/>
      <c r="AM2" s="580"/>
      <c r="AN2" s="580"/>
      <c r="AO2" s="580"/>
      <c r="AP2" s="580"/>
      <c r="AQ2" s="580"/>
      <c r="AR2" s="580"/>
      <c r="AS2" s="580"/>
      <c r="AT2" s="580"/>
      <c r="AU2" s="580"/>
      <c r="AV2" s="580"/>
      <c r="AW2" s="580"/>
      <c r="AX2" s="580"/>
      <c r="AY2" s="580"/>
      <c r="AZ2" s="580"/>
      <c r="BA2" s="580"/>
      <c r="BB2" s="580"/>
      <c r="BC2" s="580"/>
      <c r="BD2" s="580"/>
      <c r="BE2" s="580"/>
      <c r="BF2" s="580"/>
      <c r="BI2" s="580"/>
      <c r="BJ2" s="580"/>
      <c r="BK2" s="580"/>
      <c r="BL2" s="580"/>
      <c r="BM2" s="580"/>
      <c r="BN2" s="580"/>
      <c r="BO2" s="580"/>
      <c r="BP2" s="580"/>
      <c r="BQ2" s="974"/>
      <c r="BR2" s="974" t="s">
        <v>144</v>
      </c>
    </row>
    <row r="3" spans="1:70" s="576" customFormat="1" ht="15" customHeight="1" x14ac:dyDescent="0.3">
      <c r="A3" s="142"/>
      <c r="B3" s="578">
        <v>39881</v>
      </c>
      <c r="C3" s="577">
        <v>39973</v>
      </c>
      <c r="D3" s="578">
        <v>40086</v>
      </c>
      <c r="E3" s="578">
        <v>40178</v>
      </c>
      <c r="F3" s="578">
        <v>40268</v>
      </c>
      <c r="G3" s="578">
        <v>40359</v>
      </c>
      <c r="H3" s="578">
        <v>40451</v>
      </c>
      <c r="I3" s="578">
        <v>40542</v>
      </c>
      <c r="J3" s="578">
        <v>40633</v>
      </c>
      <c r="K3" s="578">
        <v>40695</v>
      </c>
      <c r="L3" s="578">
        <v>40797</v>
      </c>
      <c r="M3" s="578">
        <v>40888</v>
      </c>
      <c r="N3" s="578">
        <v>40999</v>
      </c>
      <c r="O3" s="578">
        <v>41090</v>
      </c>
      <c r="P3" s="578">
        <v>41164</v>
      </c>
      <c r="Q3" s="578">
        <v>41255</v>
      </c>
      <c r="R3" s="578">
        <v>41364</v>
      </c>
      <c r="S3" s="578">
        <v>41455</v>
      </c>
      <c r="T3" s="578">
        <v>41547</v>
      </c>
      <c r="U3" s="578">
        <v>41638</v>
      </c>
      <c r="V3" s="578">
        <v>41729</v>
      </c>
      <c r="W3" s="578">
        <v>41820</v>
      </c>
      <c r="X3" s="578">
        <v>41912</v>
      </c>
      <c r="Y3" s="578">
        <v>42003</v>
      </c>
      <c r="Z3" s="578">
        <v>42093</v>
      </c>
      <c r="AA3" s="578">
        <v>42185</v>
      </c>
      <c r="AB3" s="577" t="s">
        <v>420</v>
      </c>
      <c r="AC3" s="577" t="s">
        <v>419</v>
      </c>
      <c r="AD3" s="577" t="s">
        <v>418</v>
      </c>
      <c r="AE3" s="577" t="s">
        <v>417</v>
      </c>
      <c r="AF3" s="577" t="s">
        <v>416</v>
      </c>
      <c r="AG3" s="577" t="s">
        <v>415</v>
      </c>
      <c r="AH3" s="577" t="s">
        <v>414</v>
      </c>
      <c r="AI3" s="577" t="s">
        <v>413</v>
      </c>
      <c r="AJ3" s="577" t="s">
        <v>412</v>
      </c>
      <c r="AK3" s="577" t="s">
        <v>411</v>
      </c>
      <c r="AL3" s="577" t="s">
        <v>410</v>
      </c>
      <c r="AM3" s="577" t="s">
        <v>409</v>
      </c>
      <c r="AN3" s="577" t="s">
        <v>408</v>
      </c>
      <c r="AO3" s="577" t="s">
        <v>407</v>
      </c>
      <c r="AP3" s="577" t="s">
        <v>406</v>
      </c>
      <c r="AQ3" s="577" t="s">
        <v>405</v>
      </c>
      <c r="AR3" s="577" t="s">
        <v>404</v>
      </c>
      <c r="AS3" s="577" t="s">
        <v>403</v>
      </c>
      <c r="AT3" s="577" t="s">
        <v>402</v>
      </c>
      <c r="AU3" s="577" t="s">
        <v>401</v>
      </c>
      <c r="AV3" s="577" t="s">
        <v>400</v>
      </c>
      <c r="AW3" s="577" t="s">
        <v>399</v>
      </c>
      <c r="AX3" s="577" t="s">
        <v>398</v>
      </c>
      <c r="AY3" s="577" t="s">
        <v>397</v>
      </c>
      <c r="AZ3" s="577" t="s">
        <v>396</v>
      </c>
      <c r="BA3" s="577" t="s">
        <v>395</v>
      </c>
      <c r="BB3" s="577" t="s">
        <v>394</v>
      </c>
      <c r="BC3" s="577" t="s">
        <v>393</v>
      </c>
      <c r="BD3" s="577" t="s">
        <v>392</v>
      </c>
      <c r="BE3" s="577" t="s">
        <v>391</v>
      </c>
      <c r="BF3" s="577" t="s">
        <v>390</v>
      </c>
      <c r="BG3" s="577" t="s">
        <v>389</v>
      </c>
      <c r="BH3" s="577" t="s">
        <v>388</v>
      </c>
      <c r="BI3" s="577" t="s">
        <v>387</v>
      </c>
      <c r="BJ3" s="577" t="s">
        <v>386</v>
      </c>
      <c r="BK3" s="577" t="s">
        <v>385</v>
      </c>
      <c r="BL3" s="577" t="s">
        <v>384</v>
      </c>
      <c r="BM3" s="577" t="s">
        <v>383</v>
      </c>
      <c r="BN3" s="577" t="s">
        <v>382</v>
      </c>
      <c r="BO3" s="577" t="s">
        <v>381</v>
      </c>
      <c r="BP3" s="577" t="s">
        <v>380</v>
      </c>
      <c r="BQ3" s="577" t="s">
        <v>800</v>
      </c>
      <c r="BR3" s="577" t="s">
        <v>896</v>
      </c>
    </row>
    <row r="4" spans="1:70" x14ac:dyDescent="0.3">
      <c r="A4" s="121"/>
      <c r="B4" s="114"/>
      <c r="C4" s="114"/>
      <c r="D4" s="575"/>
      <c r="E4" s="575"/>
      <c r="F4" s="575"/>
      <c r="G4" s="575"/>
      <c r="H4" s="575"/>
      <c r="I4" s="575"/>
      <c r="J4" s="575"/>
      <c r="K4" s="575"/>
      <c r="L4" s="575"/>
      <c r="M4" s="575"/>
      <c r="N4" s="575"/>
      <c r="O4" s="575"/>
      <c r="P4" s="575" t="s">
        <v>54</v>
      </c>
      <c r="Q4" s="575" t="s">
        <v>54</v>
      </c>
      <c r="R4" s="575" t="s">
        <v>54</v>
      </c>
      <c r="S4" s="575" t="s">
        <v>54</v>
      </c>
      <c r="T4" s="575" t="s">
        <v>54</v>
      </c>
      <c r="U4" s="575" t="s">
        <v>54</v>
      </c>
      <c r="V4" s="575" t="s">
        <v>54</v>
      </c>
      <c r="W4" s="575" t="s">
        <v>54</v>
      </c>
      <c r="X4" s="575" t="s">
        <v>54</v>
      </c>
      <c r="Y4" s="575" t="s">
        <v>54</v>
      </c>
      <c r="Z4" s="575" t="s">
        <v>54</v>
      </c>
      <c r="AA4" s="575" t="s">
        <v>54</v>
      </c>
      <c r="AB4" s="575" t="s">
        <v>54</v>
      </c>
      <c r="AC4" s="575" t="s">
        <v>54</v>
      </c>
      <c r="AD4" s="575" t="s">
        <v>54</v>
      </c>
      <c r="AE4" s="574" t="s">
        <v>54</v>
      </c>
      <c r="AF4" s="574" t="s">
        <v>54</v>
      </c>
      <c r="AG4" s="574" t="s">
        <v>54</v>
      </c>
      <c r="AH4" s="574" t="s">
        <v>54</v>
      </c>
      <c r="AI4" s="574" t="s">
        <v>54</v>
      </c>
      <c r="AJ4" s="574" t="s">
        <v>54</v>
      </c>
      <c r="AK4" s="574" t="s">
        <v>54</v>
      </c>
      <c r="AL4" s="574" t="s">
        <v>54</v>
      </c>
      <c r="AM4" s="574" t="s">
        <v>54</v>
      </c>
      <c r="AN4" s="574" t="s">
        <v>54</v>
      </c>
      <c r="AO4" s="574" t="s">
        <v>54</v>
      </c>
      <c r="AP4" s="574" t="s">
        <v>54</v>
      </c>
      <c r="AQ4" s="574" t="s">
        <v>54</v>
      </c>
      <c r="AR4" s="575" t="s">
        <v>54</v>
      </c>
      <c r="AS4" s="575" t="s">
        <v>54</v>
      </c>
      <c r="AT4" s="574" t="s">
        <v>54</v>
      </c>
      <c r="AU4" s="574" t="s">
        <v>54</v>
      </c>
      <c r="AV4" s="574" t="s">
        <v>54</v>
      </c>
      <c r="AW4" s="574" t="s">
        <v>54</v>
      </c>
      <c r="AX4" s="574" t="s">
        <v>54</v>
      </c>
      <c r="AY4" s="574" t="s">
        <v>54</v>
      </c>
      <c r="AZ4" s="574" t="s">
        <v>54</v>
      </c>
      <c r="BA4" s="574" t="s">
        <v>54</v>
      </c>
      <c r="BB4" s="574" t="s">
        <v>54</v>
      </c>
      <c r="BC4" s="574" t="s">
        <v>54</v>
      </c>
      <c r="BD4" s="574" t="s">
        <v>54</v>
      </c>
      <c r="BE4" s="574" t="s">
        <v>54</v>
      </c>
      <c r="BF4" s="574" t="s">
        <v>54</v>
      </c>
      <c r="BG4" s="574" t="s">
        <v>54</v>
      </c>
      <c r="BH4" s="574" t="s">
        <v>54</v>
      </c>
      <c r="BI4" s="574" t="s">
        <v>54</v>
      </c>
      <c r="BJ4" s="574" t="s">
        <v>54</v>
      </c>
      <c r="BK4" s="574" t="s">
        <v>54</v>
      </c>
      <c r="BL4" s="574" t="s">
        <v>54</v>
      </c>
      <c r="BM4" s="574" t="s">
        <v>54</v>
      </c>
      <c r="BN4" s="574" t="s">
        <v>54</v>
      </c>
      <c r="BO4" s="574" t="s">
        <v>54</v>
      </c>
      <c r="BP4" s="574" t="s">
        <v>54</v>
      </c>
      <c r="BQ4" s="574" t="s">
        <v>54</v>
      </c>
      <c r="BR4" s="574" t="s">
        <v>53</v>
      </c>
    </row>
    <row r="5" spans="1:70" ht="16.5" x14ac:dyDescent="0.3">
      <c r="A5" s="573" t="s">
        <v>1005</v>
      </c>
      <c r="B5" s="554">
        <v>14079.1</v>
      </c>
      <c r="C5" s="554">
        <v>18487.2</v>
      </c>
      <c r="D5" s="554">
        <v>22260.7</v>
      </c>
      <c r="E5" s="554">
        <v>21617.3</v>
      </c>
      <c r="F5" s="554">
        <v>21016.440999999999</v>
      </c>
      <c r="G5" s="554">
        <v>21417.15</v>
      </c>
      <c r="H5" s="554">
        <v>24322.670000000002</v>
      </c>
      <c r="I5" s="554">
        <v>26791.483</v>
      </c>
      <c r="J5" s="554">
        <v>29335.839</v>
      </c>
      <c r="K5" s="554">
        <v>29755.579999999998</v>
      </c>
      <c r="L5" s="554">
        <v>30934.423999999999</v>
      </c>
      <c r="M5" s="554">
        <v>31350.654999999999</v>
      </c>
      <c r="N5" s="554">
        <v>31303.41</v>
      </c>
      <c r="O5" s="554">
        <v>34283.199999999997</v>
      </c>
      <c r="P5" s="554">
        <v>35282</v>
      </c>
      <c r="Q5" s="554">
        <v>35947</v>
      </c>
      <c r="R5" s="572">
        <v>37359</v>
      </c>
      <c r="S5" s="572">
        <v>42530</v>
      </c>
      <c r="T5" s="572">
        <v>45633</v>
      </c>
      <c r="U5" s="572">
        <v>47162</v>
      </c>
      <c r="V5" s="572">
        <v>48764</v>
      </c>
      <c r="W5" s="572">
        <v>51456</v>
      </c>
      <c r="X5" s="572">
        <v>51301</v>
      </c>
      <c r="Y5" s="572">
        <v>51429</v>
      </c>
      <c r="Z5" s="572">
        <v>56004</v>
      </c>
      <c r="AA5" s="572">
        <v>54711</v>
      </c>
      <c r="AB5" s="572">
        <v>54552</v>
      </c>
      <c r="AC5" s="572">
        <v>54676</v>
      </c>
      <c r="AD5" s="572">
        <v>54024</v>
      </c>
      <c r="AE5" s="572">
        <v>53464</v>
      </c>
      <c r="AF5" s="572">
        <v>53104</v>
      </c>
      <c r="AG5" s="572">
        <v>51637</v>
      </c>
      <c r="AH5" s="572">
        <v>46103</v>
      </c>
      <c r="AI5" s="572">
        <v>46231</v>
      </c>
      <c r="AJ5" s="572">
        <v>45014.7</v>
      </c>
      <c r="AK5" s="572">
        <v>45128</v>
      </c>
      <c r="AL5" s="572">
        <v>44544</v>
      </c>
      <c r="AM5" s="572">
        <v>44537.9</v>
      </c>
      <c r="AN5" s="572">
        <v>42078.1</v>
      </c>
      <c r="AO5" s="572">
        <v>41414.35</v>
      </c>
      <c r="AP5" s="572">
        <v>40255.5</v>
      </c>
      <c r="AQ5" s="572">
        <v>40257.5</v>
      </c>
      <c r="AR5" s="572">
        <v>39203</v>
      </c>
      <c r="AS5" s="572">
        <v>39591.5</v>
      </c>
      <c r="AT5" s="572">
        <v>33622</v>
      </c>
      <c r="AU5" s="572">
        <v>43688.2</v>
      </c>
      <c r="AV5" s="572">
        <v>58956.2</v>
      </c>
      <c r="AW5" s="572">
        <v>59787.25</v>
      </c>
      <c r="AX5" s="572">
        <v>70092.100000000006</v>
      </c>
      <c r="AY5" s="572">
        <v>71940.17</v>
      </c>
      <c r="AZ5" s="572">
        <v>77634.8</v>
      </c>
      <c r="BA5" s="572">
        <v>77014.850000000006</v>
      </c>
      <c r="BB5" s="572">
        <v>76262.25</v>
      </c>
      <c r="BC5" s="572">
        <v>73172.2</v>
      </c>
      <c r="BD5" s="572">
        <v>67396</v>
      </c>
      <c r="BE5" s="572">
        <v>81788</v>
      </c>
      <c r="BF5" s="572">
        <v>85843</v>
      </c>
      <c r="BG5" s="572">
        <v>83874</v>
      </c>
      <c r="BH5" s="572">
        <v>79518.05</v>
      </c>
      <c r="BI5" s="572">
        <v>83947.1</v>
      </c>
      <c r="BJ5" s="572">
        <v>85550</v>
      </c>
      <c r="BK5" s="572">
        <v>85460</v>
      </c>
      <c r="BL5" s="572">
        <v>97020</v>
      </c>
      <c r="BM5" s="572">
        <v>96733</v>
      </c>
      <c r="BN5" s="572">
        <v>94550.14</v>
      </c>
      <c r="BO5" s="572">
        <v>97128.26</v>
      </c>
      <c r="BP5" s="572">
        <v>96992.756000000008</v>
      </c>
      <c r="BQ5" s="572">
        <v>98826</v>
      </c>
      <c r="BR5" s="572">
        <v>98801.3</v>
      </c>
    </row>
    <row r="6" spans="1:70" ht="16.5" customHeight="1" x14ac:dyDescent="0.3">
      <c r="A6" s="568" t="s">
        <v>531</v>
      </c>
      <c r="B6" s="565">
        <v>6515.2</v>
      </c>
      <c r="C6" s="565">
        <v>7385.6</v>
      </c>
      <c r="D6" s="563">
        <v>7314.8</v>
      </c>
      <c r="E6" s="564">
        <v>7200.8</v>
      </c>
      <c r="F6" s="566">
        <v>7053.9179999999997</v>
      </c>
      <c r="G6" s="567">
        <v>7336.84</v>
      </c>
      <c r="H6" s="566">
        <v>7511.81</v>
      </c>
      <c r="I6" s="567">
        <v>8520.7950000000001</v>
      </c>
      <c r="J6" s="566">
        <v>10384.980000000001</v>
      </c>
      <c r="K6" s="567">
        <v>10745.980000000001</v>
      </c>
      <c r="L6" s="566">
        <v>10700.243999999999</v>
      </c>
      <c r="M6" s="567">
        <v>11019.177</v>
      </c>
      <c r="N6" s="566">
        <v>11086</v>
      </c>
      <c r="O6" s="566">
        <v>11827</v>
      </c>
      <c r="P6" s="566">
        <v>12808</v>
      </c>
      <c r="Q6" s="566">
        <v>12980</v>
      </c>
      <c r="R6" s="566">
        <v>14094</v>
      </c>
      <c r="S6" s="566">
        <v>14988</v>
      </c>
      <c r="T6" s="566">
        <v>15141</v>
      </c>
      <c r="U6" s="566">
        <v>16598</v>
      </c>
      <c r="V6" s="566">
        <v>16006</v>
      </c>
      <c r="W6" s="566">
        <v>16019</v>
      </c>
      <c r="X6" s="566">
        <v>15873</v>
      </c>
      <c r="Y6" s="566">
        <v>17039</v>
      </c>
      <c r="Z6" s="566">
        <v>18462</v>
      </c>
      <c r="AA6" s="566">
        <v>18292</v>
      </c>
      <c r="AB6" s="566">
        <v>18062</v>
      </c>
      <c r="AC6" s="566">
        <v>18375</v>
      </c>
      <c r="AD6" s="566">
        <v>18173</v>
      </c>
      <c r="AE6" s="566">
        <v>18126</v>
      </c>
      <c r="AF6" s="566">
        <v>17650</v>
      </c>
      <c r="AG6" s="566">
        <v>16922</v>
      </c>
      <c r="AH6" s="566">
        <v>16264</v>
      </c>
      <c r="AI6" s="566">
        <v>16442</v>
      </c>
      <c r="AJ6" s="566">
        <v>15678</v>
      </c>
      <c r="AK6" s="566">
        <v>16176</v>
      </c>
      <c r="AL6" s="566">
        <v>15648</v>
      </c>
      <c r="AM6" s="566">
        <v>15674</v>
      </c>
      <c r="AN6" s="566">
        <v>14419.7</v>
      </c>
      <c r="AO6" s="566">
        <v>14240</v>
      </c>
      <c r="AP6" s="566">
        <v>13576</v>
      </c>
      <c r="AQ6" s="566">
        <v>13295</v>
      </c>
      <c r="AR6" s="566">
        <v>12697</v>
      </c>
      <c r="AS6" s="566">
        <v>12816</v>
      </c>
      <c r="AT6" s="566">
        <v>13006.9</v>
      </c>
      <c r="AU6" s="566">
        <v>14105</v>
      </c>
      <c r="AV6" s="566">
        <v>28813</v>
      </c>
      <c r="AW6" s="566">
        <v>29427</v>
      </c>
      <c r="AX6" s="566">
        <v>38879</v>
      </c>
      <c r="AY6" s="566">
        <v>40883</v>
      </c>
      <c r="AZ6" s="566">
        <v>39449</v>
      </c>
      <c r="BA6" s="566">
        <v>39068</v>
      </c>
      <c r="BB6" s="566">
        <v>38477</v>
      </c>
      <c r="BC6" s="566">
        <v>36833</v>
      </c>
      <c r="BD6" s="566">
        <v>33890</v>
      </c>
      <c r="BE6" s="566">
        <v>36439</v>
      </c>
      <c r="BF6" s="566">
        <v>38084</v>
      </c>
      <c r="BG6" s="566">
        <v>36777</v>
      </c>
      <c r="BH6" s="566">
        <v>34708.300000000003</v>
      </c>
      <c r="BI6" s="566">
        <v>38647.1</v>
      </c>
      <c r="BJ6" s="566">
        <v>38919</v>
      </c>
      <c r="BK6" s="566">
        <v>38490</v>
      </c>
      <c r="BL6" s="566">
        <v>39431</v>
      </c>
      <c r="BM6" s="566">
        <v>39675</v>
      </c>
      <c r="BN6" s="566">
        <v>38893.14</v>
      </c>
      <c r="BO6" s="566">
        <v>40509.769999999997</v>
      </c>
      <c r="BP6" s="566">
        <v>40089</v>
      </c>
      <c r="BQ6" s="566">
        <v>42011</v>
      </c>
      <c r="BR6" s="566">
        <v>41049.57</v>
      </c>
    </row>
    <row r="7" spans="1:70" ht="16.5" customHeight="1" x14ac:dyDescent="0.3">
      <c r="A7" s="568" t="s">
        <v>530</v>
      </c>
      <c r="B7" s="565">
        <v>7463.2</v>
      </c>
      <c r="C7" s="565">
        <v>10991.1</v>
      </c>
      <c r="D7" s="563">
        <v>14329.9</v>
      </c>
      <c r="E7" s="564">
        <v>14113.7</v>
      </c>
      <c r="F7" s="566">
        <v>13866.5</v>
      </c>
      <c r="G7" s="567">
        <v>14016.41</v>
      </c>
      <c r="H7" s="566">
        <v>16727.16</v>
      </c>
      <c r="I7" s="567">
        <v>18134.516</v>
      </c>
      <c r="J7" s="566">
        <v>18835.136999999999</v>
      </c>
      <c r="K7" s="567">
        <v>18963.3</v>
      </c>
      <c r="L7" s="566">
        <v>20133.66</v>
      </c>
      <c r="M7" s="567">
        <v>20025.768</v>
      </c>
      <c r="N7" s="566">
        <v>19851.2</v>
      </c>
      <c r="O7" s="566">
        <v>21590.2</v>
      </c>
      <c r="P7" s="566">
        <v>22041</v>
      </c>
      <c r="Q7" s="566">
        <v>22708</v>
      </c>
      <c r="R7" s="566">
        <v>23185</v>
      </c>
      <c r="S7" s="566">
        <v>27370</v>
      </c>
      <c r="T7" s="566">
        <v>30267</v>
      </c>
      <c r="U7" s="566">
        <v>30125</v>
      </c>
      <c r="V7" s="566">
        <v>32281</v>
      </c>
      <c r="W7" s="566">
        <v>35010</v>
      </c>
      <c r="X7" s="566">
        <v>35063</v>
      </c>
      <c r="Y7" s="566">
        <v>34150</v>
      </c>
      <c r="Z7" s="566">
        <v>37452</v>
      </c>
      <c r="AA7" s="566">
        <v>36368</v>
      </c>
      <c r="AB7" s="566">
        <v>36432</v>
      </c>
      <c r="AC7" s="566">
        <v>36116</v>
      </c>
      <c r="AD7" s="566">
        <v>35665</v>
      </c>
      <c r="AE7" s="566">
        <v>35150</v>
      </c>
      <c r="AF7" s="566">
        <v>35259</v>
      </c>
      <c r="AG7" s="566">
        <v>34623</v>
      </c>
      <c r="AH7" s="566">
        <v>29645</v>
      </c>
      <c r="AI7" s="566">
        <v>29441</v>
      </c>
      <c r="AJ7" s="566">
        <v>29029</v>
      </c>
      <c r="AK7" s="566">
        <v>28671</v>
      </c>
      <c r="AL7" s="566">
        <v>28610</v>
      </c>
      <c r="AM7" s="566">
        <v>28579</v>
      </c>
      <c r="AN7" s="566">
        <v>27488</v>
      </c>
      <c r="AO7" s="566">
        <v>26994</v>
      </c>
      <c r="AP7" s="566">
        <v>26504</v>
      </c>
      <c r="AQ7" s="566">
        <v>26788</v>
      </c>
      <c r="AR7" s="566">
        <v>26296</v>
      </c>
      <c r="AS7" s="566">
        <v>26474.400000000001</v>
      </c>
      <c r="AT7" s="566">
        <v>20294.699999999997</v>
      </c>
      <c r="AU7" s="566">
        <v>29219</v>
      </c>
      <c r="AV7" s="566">
        <v>29400</v>
      </c>
      <c r="AW7" s="566">
        <v>29496</v>
      </c>
      <c r="AX7" s="566">
        <v>28809</v>
      </c>
      <c r="AY7" s="566">
        <v>30108</v>
      </c>
      <c r="AZ7" s="566">
        <v>37242.800000000003</v>
      </c>
      <c r="BA7" s="566">
        <v>36948.1</v>
      </c>
      <c r="BB7" s="566">
        <v>36777.4</v>
      </c>
      <c r="BC7" s="566">
        <v>35342.199999999997</v>
      </c>
      <c r="BD7" s="566">
        <v>32974</v>
      </c>
      <c r="BE7" s="566">
        <v>33924</v>
      </c>
      <c r="BF7" s="566">
        <v>35755</v>
      </c>
      <c r="BG7" s="566">
        <v>46686</v>
      </c>
      <c r="BH7" s="566">
        <v>44443.8</v>
      </c>
      <c r="BI7" s="566">
        <v>44884</v>
      </c>
      <c r="BJ7" s="566">
        <v>46203</v>
      </c>
      <c r="BK7" s="566">
        <v>46544</v>
      </c>
      <c r="BL7" s="566">
        <v>57128</v>
      </c>
      <c r="BM7" s="566">
        <v>56580</v>
      </c>
      <c r="BN7" s="566">
        <v>55146</v>
      </c>
      <c r="BO7" s="566">
        <v>56033.49</v>
      </c>
      <c r="BP7" s="566">
        <v>56231.455999999998</v>
      </c>
      <c r="BQ7" s="566">
        <v>55964</v>
      </c>
      <c r="BR7" s="566">
        <v>56008.43</v>
      </c>
    </row>
    <row r="8" spans="1:70" ht="16.5" customHeight="1" x14ac:dyDescent="0.3">
      <c r="A8" s="571" t="s">
        <v>532</v>
      </c>
      <c r="B8" s="550">
        <v>780</v>
      </c>
      <c r="C8" s="550">
        <v>786</v>
      </c>
      <c r="D8" s="547">
        <v>4683</v>
      </c>
      <c r="E8" s="549">
        <v>4597</v>
      </c>
      <c r="F8" s="569">
        <v>4527</v>
      </c>
      <c r="G8" s="570">
        <v>4564</v>
      </c>
      <c r="H8" s="569">
        <v>4536</v>
      </c>
      <c r="I8" s="570">
        <v>4504</v>
      </c>
      <c r="J8" s="569">
        <v>4356</v>
      </c>
      <c r="K8" s="570">
        <v>4411</v>
      </c>
      <c r="L8" s="569">
        <v>4388</v>
      </c>
      <c r="M8" s="570">
        <v>4359</v>
      </c>
      <c r="N8" s="569">
        <v>4331</v>
      </c>
      <c r="O8" s="569">
        <v>4551</v>
      </c>
      <c r="P8" s="569">
        <v>4545</v>
      </c>
      <c r="Q8" s="569">
        <v>4543</v>
      </c>
      <c r="R8" s="569">
        <v>4522</v>
      </c>
      <c r="S8" s="569">
        <v>4515</v>
      </c>
      <c r="T8" s="569">
        <v>4525</v>
      </c>
      <c r="U8" s="569">
        <v>4493</v>
      </c>
      <c r="V8" s="569">
        <v>4497</v>
      </c>
      <c r="W8" s="569">
        <v>4525</v>
      </c>
      <c r="X8" s="569">
        <v>4497</v>
      </c>
      <c r="Y8" s="569">
        <v>4449</v>
      </c>
      <c r="Z8" s="569">
        <v>4876</v>
      </c>
      <c r="AA8" s="569">
        <v>4775</v>
      </c>
      <c r="AB8" s="569">
        <v>4831</v>
      </c>
      <c r="AC8" s="569">
        <v>4818</v>
      </c>
      <c r="AD8" s="569">
        <v>4819</v>
      </c>
      <c r="AE8" s="569">
        <v>4804</v>
      </c>
      <c r="AF8" s="569">
        <v>4793</v>
      </c>
      <c r="AG8" s="569">
        <v>4672</v>
      </c>
      <c r="AH8" s="569">
        <v>4647</v>
      </c>
      <c r="AI8" s="569">
        <v>4640</v>
      </c>
      <c r="AJ8" s="569">
        <v>4623</v>
      </c>
      <c r="AK8" s="569">
        <v>4605</v>
      </c>
      <c r="AL8" s="569">
        <v>4677</v>
      </c>
      <c r="AM8" s="569">
        <v>4701</v>
      </c>
      <c r="AN8" s="569">
        <v>4644</v>
      </c>
      <c r="AO8" s="569">
        <v>4611</v>
      </c>
      <c r="AP8" s="569">
        <v>4671</v>
      </c>
      <c r="AQ8" s="569">
        <v>4762</v>
      </c>
      <c r="AR8" s="569">
        <v>4814</v>
      </c>
      <c r="AS8" s="569">
        <v>4899.3999999999996</v>
      </c>
      <c r="AT8" s="569">
        <v>5227.3999999999996</v>
      </c>
      <c r="AU8" s="569">
        <v>5375</v>
      </c>
      <c r="AV8" s="569">
        <v>5457</v>
      </c>
      <c r="AW8" s="569">
        <v>5511</v>
      </c>
      <c r="AX8" s="569">
        <v>5578</v>
      </c>
      <c r="AY8" s="569">
        <v>5888</v>
      </c>
      <c r="AZ8" s="569">
        <v>14091.8</v>
      </c>
      <c r="BA8" s="569">
        <v>14201.099999999999</v>
      </c>
      <c r="BB8" s="569">
        <v>14343.400000000001</v>
      </c>
      <c r="BC8" s="569">
        <v>14073.2</v>
      </c>
      <c r="BD8" s="569">
        <v>13342</v>
      </c>
      <c r="BE8" s="569">
        <v>13617</v>
      </c>
      <c r="BF8" s="569">
        <v>14454</v>
      </c>
      <c r="BG8" s="569">
        <v>14274</v>
      </c>
      <c r="BH8" s="569">
        <v>13648</v>
      </c>
      <c r="BI8" s="569">
        <v>13855</v>
      </c>
      <c r="BJ8" s="569">
        <v>14399</v>
      </c>
      <c r="BK8" s="569">
        <v>14579</v>
      </c>
      <c r="BL8" s="569">
        <v>14556</v>
      </c>
      <c r="BM8" s="569">
        <v>14380</v>
      </c>
      <c r="BN8" s="569">
        <v>14141</v>
      </c>
      <c r="BO8" s="569">
        <v>14502</v>
      </c>
      <c r="BP8" s="569">
        <v>14630</v>
      </c>
      <c r="BQ8" s="569">
        <v>14846</v>
      </c>
      <c r="BR8" s="569">
        <v>14941</v>
      </c>
    </row>
    <row r="9" spans="1:70" ht="16.5" customHeight="1" x14ac:dyDescent="0.3">
      <c r="A9" s="568" t="s">
        <v>1004</v>
      </c>
      <c r="B9" s="565">
        <v>100.7</v>
      </c>
      <c r="C9" s="565">
        <v>110.5</v>
      </c>
      <c r="D9" s="563">
        <v>616</v>
      </c>
      <c r="E9" s="564">
        <v>302.8</v>
      </c>
      <c r="F9" s="566">
        <v>96.022999999999996</v>
      </c>
      <c r="G9" s="567">
        <v>63.900000000000006</v>
      </c>
      <c r="H9" s="566">
        <v>83.7</v>
      </c>
      <c r="I9" s="567">
        <v>136.172</v>
      </c>
      <c r="J9" s="566">
        <v>115.72200000000001</v>
      </c>
      <c r="K9" s="567">
        <v>46.3</v>
      </c>
      <c r="L9" s="566">
        <v>100.52</v>
      </c>
      <c r="M9" s="567">
        <v>305.71000000000004</v>
      </c>
      <c r="N9" s="566">
        <v>366.21000000000004</v>
      </c>
      <c r="O9" s="566">
        <v>866</v>
      </c>
      <c r="P9" s="566">
        <v>433</v>
      </c>
      <c r="Q9" s="566">
        <v>259</v>
      </c>
      <c r="R9" s="566">
        <v>80</v>
      </c>
      <c r="S9" s="566">
        <v>172</v>
      </c>
      <c r="T9" s="566">
        <v>225</v>
      </c>
      <c r="U9" s="566">
        <v>439</v>
      </c>
      <c r="V9" s="566">
        <v>477</v>
      </c>
      <c r="W9" s="566">
        <v>427</v>
      </c>
      <c r="X9" s="566">
        <v>365</v>
      </c>
      <c r="Y9" s="566">
        <v>240</v>
      </c>
      <c r="Z9" s="566">
        <v>90</v>
      </c>
      <c r="AA9" s="566">
        <v>51</v>
      </c>
      <c r="AB9" s="566">
        <v>58</v>
      </c>
      <c r="AC9" s="566">
        <v>185</v>
      </c>
      <c r="AD9" s="566">
        <v>186</v>
      </c>
      <c r="AE9" s="566">
        <v>188</v>
      </c>
      <c r="AF9" s="566">
        <v>195</v>
      </c>
      <c r="AG9" s="566">
        <v>92</v>
      </c>
      <c r="AH9" s="566">
        <v>194</v>
      </c>
      <c r="AI9" s="566">
        <v>348</v>
      </c>
      <c r="AJ9" s="566">
        <v>307.7</v>
      </c>
      <c r="AK9" s="566">
        <v>281</v>
      </c>
      <c r="AL9" s="566">
        <v>286</v>
      </c>
      <c r="AM9" s="566">
        <v>284.90000000000003</v>
      </c>
      <c r="AN9" s="566">
        <v>170.39999999999998</v>
      </c>
      <c r="AO9" s="566">
        <v>180.35000000000002</v>
      </c>
      <c r="AP9" s="566">
        <v>175.5</v>
      </c>
      <c r="AQ9" s="566">
        <v>174.5</v>
      </c>
      <c r="AR9" s="566">
        <v>210</v>
      </c>
      <c r="AS9" s="566">
        <v>301.10000000000002</v>
      </c>
      <c r="AT9" s="566">
        <v>320.39999999999998</v>
      </c>
      <c r="AU9" s="566">
        <v>364.20000000000005</v>
      </c>
      <c r="AV9" s="566">
        <v>743.2</v>
      </c>
      <c r="AW9" s="566">
        <v>864.25</v>
      </c>
      <c r="AX9" s="566">
        <v>2404.1</v>
      </c>
      <c r="AY9" s="566">
        <v>949.17</v>
      </c>
      <c r="AZ9" s="566">
        <v>943</v>
      </c>
      <c r="BA9" s="566">
        <v>998.75</v>
      </c>
      <c r="BB9" s="566">
        <v>1007.85</v>
      </c>
      <c r="BC9" s="566">
        <v>997</v>
      </c>
      <c r="BD9" s="566">
        <v>532</v>
      </c>
      <c r="BE9" s="566">
        <v>11425</v>
      </c>
      <c r="BF9" s="566">
        <v>12004</v>
      </c>
      <c r="BG9" s="566">
        <v>411</v>
      </c>
      <c r="BH9" s="566">
        <v>365.95</v>
      </c>
      <c r="BI9" s="566">
        <v>416</v>
      </c>
      <c r="BJ9" s="566">
        <v>428</v>
      </c>
      <c r="BK9" s="566">
        <v>426</v>
      </c>
      <c r="BL9" s="566">
        <v>461</v>
      </c>
      <c r="BM9" s="566">
        <v>478</v>
      </c>
      <c r="BN9" s="566">
        <v>511</v>
      </c>
      <c r="BO9" s="566">
        <v>585</v>
      </c>
      <c r="BP9" s="566">
        <v>672.3</v>
      </c>
      <c r="BQ9" s="566">
        <v>851</v>
      </c>
      <c r="BR9" s="566">
        <v>1743.3</v>
      </c>
    </row>
    <row r="10" spans="1:70" ht="16.5" customHeight="1" x14ac:dyDescent="0.3">
      <c r="A10" s="121"/>
      <c r="B10" s="565"/>
      <c r="C10" s="565"/>
      <c r="D10" s="563"/>
      <c r="E10" s="564"/>
      <c r="F10" s="564"/>
      <c r="G10" s="564"/>
      <c r="H10" s="564"/>
      <c r="I10" s="564"/>
      <c r="J10" s="564"/>
      <c r="K10" s="564"/>
      <c r="L10" s="564"/>
      <c r="M10" s="564"/>
      <c r="N10" s="564"/>
      <c r="O10" s="564"/>
      <c r="P10" s="564"/>
      <c r="Q10" s="564"/>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3"/>
      <c r="BD10" s="563"/>
      <c r="BE10" s="563"/>
      <c r="BF10" s="563"/>
      <c r="BG10" s="563"/>
      <c r="BH10" s="563"/>
      <c r="BI10" s="563"/>
      <c r="BJ10" s="563"/>
      <c r="BK10" s="563"/>
      <c r="BL10" s="563"/>
      <c r="BM10" s="563"/>
      <c r="BN10" s="563"/>
      <c r="BO10" s="563"/>
      <c r="BP10" s="563"/>
      <c r="BQ10" s="563"/>
      <c r="BR10" s="563"/>
    </row>
    <row r="11" spans="1:70" ht="16.5" customHeight="1" x14ac:dyDescent="0.3">
      <c r="A11" s="562" t="s">
        <v>178</v>
      </c>
      <c r="B11" s="560">
        <v>8239</v>
      </c>
      <c r="C11" s="560">
        <v>8109</v>
      </c>
      <c r="D11" s="560">
        <v>7960</v>
      </c>
      <c r="E11" s="560">
        <v>9901.4</v>
      </c>
      <c r="F11" s="560">
        <v>11075.2</v>
      </c>
      <c r="G11" s="560">
        <v>9961.1</v>
      </c>
      <c r="H11" s="560">
        <v>9632.2999999999993</v>
      </c>
      <c r="I11" s="561">
        <v>8917</v>
      </c>
      <c r="J11" s="560">
        <v>8410</v>
      </c>
      <c r="K11" s="561">
        <v>7740.2000000000007</v>
      </c>
      <c r="L11" s="560">
        <v>8453</v>
      </c>
      <c r="M11" s="561">
        <v>11364</v>
      </c>
      <c r="N11" s="560">
        <v>11309</v>
      </c>
      <c r="O11" s="560">
        <v>11062</v>
      </c>
      <c r="P11" s="560">
        <v>11325</v>
      </c>
      <c r="Q11" s="560">
        <v>11068</v>
      </c>
      <c r="R11" s="560">
        <v>11153</v>
      </c>
      <c r="S11" s="560">
        <v>11165</v>
      </c>
      <c r="T11" s="560">
        <v>10999</v>
      </c>
      <c r="U11" s="560">
        <v>10729</v>
      </c>
      <c r="V11" s="560">
        <v>11088</v>
      </c>
      <c r="W11" s="560">
        <v>10987</v>
      </c>
      <c r="X11" s="560">
        <v>11097</v>
      </c>
      <c r="Y11" s="560">
        <v>11431</v>
      </c>
      <c r="Z11" s="560">
        <v>12685</v>
      </c>
      <c r="AA11" s="560">
        <v>12754</v>
      </c>
      <c r="AB11" s="560">
        <v>12795</v>
      </c>
      <c r="AC11" s="560">
        <v>12800</v>
      </c>
      <c r="AD11" s="560">
        <v>12387</v>
      </c>
      <c r="AE11" s="560">
        <v>12432</v>
      </c>
      <c r="AF11" s="560">
        <v>12569</v>
      </c>
      <c r="AG11" s="560">
        <v>12487</v>
      </c>
      <c r="AH11" s="560">
        <v>11971</v>
      </c>
      <c r="AI11" s="560">
        <v>12711</v>
      </c>
      <c r="AJ11" s="560">
        <v>12086</v>
      </c>
      <c r="AK11" s="560">
        <v>12258</v>
      </c>
      <c r="AL11" s="560">
        <v>11773</v>
      </c>
      <c r="AM11" s="560">
        <v>12804</v>
      </c>
      <c r="AN11" s="560">
        <v>12942</v>
      </c>
      <c r="AO11" s="560">
        <v>12913</v>
      </c>
      <c r="AP11" s="560">
        <v>12461</v>
      </c>
      <c r="AQ11" s="560">
        <v>12724</v>
      </c>
      <c r="AR11" s="560">
        <v>12424</v>
      </c>
      <c r="AS11" s="560">
        <v>16534</v>
      </c>
      <c r="AT11" s="560">
        <v>19595.599999999999</v>
      </c>
      <c r="AU11" s="560">
        <v>21064</v>
      </c>
      <c r="AV11" s="560">
        <v>21630</v>
      </c>
      <c r="AW11" s="560">
        <v>22517</v>
      </c>
      <c r="AX11" s="560">
        <v>23469</v>
      </c>
      <c r="AY11" s="560">
        <v>25693</v>
      </c>
      <c r="AZ11" s="560">
        <v>25846.7</v>
      </c>
      <c r="BA11" s="560">
        <v>26494.27</v>
      </c>
      <c r="BB11" s="560">
        <v>26934.89</v>
      </c>
      <c r="BC11" s="560">
        <v>28713</v>
      </c>
      <c r="BD11" s="560">
        <v>28979</v>
      </c>
      <c r="BE11" s="560">
        <v>30073</v>
      </c>
      <c r="BF11" s="560">
        <v>31244</v>
      </c>
      <c r="BG11" s="560">
        <v>31394</v>
      </c>
      <c r="BH11" s="560">
        <v>29519.1</v>
      </c>
      <c r="BI11" s="560">
        <v>29486.400000000001</v>
      </c>
      <c r="BJ11" s="560">
        <v>30381.5</v>
      </c>
      <c r="BK11" s="560">
        <v>30728</v>
      </c>
      <c r="BL11" s="560">
        <v>28944.400000000001</v>
      </c>
      <c r="BM11" s="560">
        <v>29580</v>
      </c>
      <c r="BN11" s="560">
        <v>27824.5</v>
      </c>
      <c r="BO11" s="560">
        <v>27426.949999999997</v>
      </c>
      <c r="BP11" s="560">
        <v>27454.170000000002</v>
      </c>
      <c r="BQ11" s="560">
        <v>27814</v>
      </c>
      <c r="BR11" s="560">
        <v>27993</v>
      </c>
    </row>
    <row r="12" spans="1:70" ht="16.5" customHeight="1" x14ac:dyDescent="0.3">
      <c r="A12" s="555" t="s">
        <v>531</v>
      </c>
      <c r="B12" s="552">
        <v>1924</v>
      </c>
      <c r="C12" s="552">
        <v>1806</v>
      </c>
      <c r="D12" s="552">
        <v>1775</v>
      </c>
      <c r="E12" s="554">
        <v>1682</v>
      </c>
      <c r="F12" s="552">
        <v>1690.2</v>
      </c>
      <c r="G12" s="553">
        <v>883</v>
      </c>
      <c r="H12" s="552">
        <v>885.8</v>
      </c>
      <c r="I12" s="553">
        <v>398</v>
      </c>
      <c r="J12" s="552">
        <v>325</v>
      </c>
      <c r="K12" s="553">
        <v>429.1</v>
      </c>
      <c r="L12" s="552">
        <v>328</v>
      </c>
      <c r="M12" s="553">
        <v>120</v>
      </c>
      <c r="N12" s="552">
        <v>120</v>
      </c>
      <c r="O12" s="552">
        <v>74</v>
      </c>
      <c r="P12" s="552">
        <v>77</v>
      </c>
      <c r="Q12" s="552">
        <v>40</v>
      </c>
      <c r="R12" s="552">
        <v>40</v>
      </c>
      <c r="S12" s="552">
        <v>157</v>
      </c>
      <c r="T12" s="552">
        <v>155</v>
      </c>
      <c r="U12" s="552">
        <v>153</v>
      </c>
      <c r="V12" s="552">
        <v>153</v>
      </c>
      <c r="W12" s="552">
        <v>227</v>
      </c>
      <c r="X12" s="552">
        <v>233</v>
      </c>
      <c r="Y12" s="552">
        <v>646</v>
      </c>
      <c r="Z12" s="552">
        <v>703</v>
      </c>
      <c r="AA12" s="552">
        <v>1137</v>
      </c>
      <c r="AB12" s="552">
        <v>1539</v>
      </c>
      <c r="AC12" s="552">
        <v>1554</v>
      </c>
      <c r="AD12" s="552">
        <v>1447</v>
      </c>
      <c r="AE12" s="552">
        <v>1465</v>
      </c>
      <c r="AF12" s="552">
        <v>1373</v>
      </c>
      <c r="AG12" s="552">
        <v>1393</v>
      </c>
      <c r="AH12" s="552">
        <v>1286</v>
      </c>
      <c r="AI12" s="552">
        <v>1250</v>
      </c>
      <c r="AJ12" s="552">
        <v>1145</v>
      </c>
      <c r="AK12" s="552">
        <v>1137</v>
      </c>
      <c r="AL12" s="552">
        <v>1048</v>
      </c>
      <c r="AM12" s="552">
        <v>1083</v>
      </c>
      <c r="AN12" s="552">
        <v>989</v>
      </c>
      <c r="AO12" s="552">
        <v>987</v>
      </c>
      <c r="AP12" s="552">
        <v>920</v>
      </c>
      <c r="AQ12" s="552">
        <v>936</v>
      </c>
      <c r="AR12" s="552">
        <v>933</v>
      </c>
      <c r="AS12" s="552">
        <v>1061</v>
      </c>
      <c r="AT12" s="552">
        <v>3655.8</v>
      </c>
      <c r="AU12" s="552">
        <v>4875</v>
      </c>
      <c r="AV12" s="552">
        <v>6218</v>
      </c>
      <c r="AW12" s="552">
        <v>7113</v>
      </c>
      <c r="AX12" s="552">
        <v>8400</v>
      </c>
      <c r="AY12" s="552">
        <v>9743</v>
      </c>
      <c r="AZ12" s="552">
        <v>10503.7</v>
      </c>
      <c r="BA12" s="552">
        <v>11126.27</v>
      </c>
      <c r="BB12" s="552">
        <v>11856.89</v>
      </c>
      <c r="BC12" s="552">
        <v>13452</v>
      </c>
      <c r="BD12" s="552">
        <v>14582</v>
      </c>
      <c r="BE12" s="552">
        <v>16064</v>
      </c>
      <c r="BF12" s="552">
        <v>17488</v>
      </c>
      <c r="BG12" s="552">
        <v>17644</v>
      </c>
      <c r="BH12" s="552">
        <v>16847.5</v>
      </c>
      <c r="BI12" s="552">
        <v>16940.400000000001</v>
      </c>
      <c r="BJ12" s="552">
        <v>17801.5</v>
      </c>
      <c r="BK12" s="552">
        <v>18110</v>
      </c>
      <c r="BL12" s="552">
        <v>17628.400000000001</v>
      </c>
      <c r="BM12" s="552">
        <v>18133</v>
      </c>
      <c r="BN12" s="552">
        <v>17643.5</v>
      </c>
      <c r="BO12" s="552">
        <v>17518.099999999999</v>
      </c>
      <c r="BP12" s="552">
        <v>17874.04</v>
      </c>
      <c r="BQ12" s="552">
        <v>17971</v>
      </c>
      <c r="BR12" s="552">
        <v>18425</v>
      </c>
    </row>
    <row r="13" spans="1:70" s="546" customFormat="1" ht="16.5" customHeight="1" x14ac:dyDescent="0.3">
      <c r="A13" s="551" t="s">
        <v>143</v>
      </c>
      <c r="B13" s="550">
        <v>1924</v>
      </c>
      <c r="C13" s="550">
        <v>1806</v>
      </c>
      <c r="D13" s="547">
        <v>1775</v>
      </c>
      <c r="E13" s="559">
        <v>1682</v>
      </c>
      <c r="F13" s="556">
        <v>1690.2</v>
      </c>
      <c r="G13" s="557">
        <v>471</v>
      </c>
      <c r="H13" s="556">
        <v>461</v>
      </c>
      <c r="I13" s="557">
        <v>0</v>
      </c>
      <c r="J13" s="556">
        <v>0</v>
      </c>
      <c r="K13" s="557">
        <v>0</v>
      </c>
      <c r="L13" s="556">
        <v>0</v>
      </c>
      <c r="M13" s="557">
        <v>0</v>
      </c>
      <c r="N13" s="556">
        <v>0</v>
      </c>
      <c r="O13" s="556">
        <v>0</v>
      </c>
      <c r="P13" s="556">
        <v>0</v>
      </c>
      <c r="Q13" s="556">
        <v>0</v>
      </c>
      <c r="R13" s="556">
        <v>0</v>
      </c>
      <c r="S13" s="556">
        <v>157</v>
      </c>
      <c r="T13" s="556">
        <v>155</v>
      </c>
      <c r="U13" s="556">
        <v>153</v>
      </c>
      <c r="V13" s="556">
        <v>153</v>
      </c>
      <c r="W13" s="556">
        <v>227</v>
      </c>
      <c r="X13" s="556">
        <v>233</v>
      </c>
      <c r="Y13" s="556">
        <v>646</v>
      </c>
      <c r="Z13" s="556">
        <v>703</v>
      </c>
      <c r="AA13" s="556">
        <v>1137</v>
      </c>
      <c r="AB13" s="556">
        <v>1539</v>
      </c>
      <c r="AC13" s="556">
        <v>1554</v>
      </c>
      <c r="AD13" s="556">
        <v>1447</v>
      </c>
      <c r="AE13" s="556">
        <v>1465</v>
      </c>
      <c r="AF13" s="556">
        <v>1373</v>
      </c>
      <c r="AG13" s="556">
        <v>1393</v>
      </c>
      <c r="AH13" s="556">
        <v>1286</v>
      </c>
      <c r="AI13" s="556">
        <v>1250</v>
      </c>
      <c r="AJ13" s="556">
        <v>1145</v>
      </c>
      <c r="AK13" s="556">
        <v>1137</v>
      </c>
      <c r="AL13" s="556">
        <v>1048</v>
      </c>
      <c r="AM13" s="556">
        <v>1083</v>
      </c>
      <c r="AN13" s="556">
        <v>989</v>
      </c>
      <c r="AO13" s="556">
        <v>987</v>
      </c>
      <c r="AP13" s="556">
        <v>920</v>
      </c>
      <c r="AQ13" s="556">
        <v>936</v>
      </c>
      <c r="AR13" s="556">
        <v>933</v>
      </c>
      <c r="AS13" s="556">
        <v>1061</v>
      </c>
      <c r="AT13" s="556">
        <v>3650.8</v>
      </c>
      <c r="AU13" s="556">
        <v>4870</v>
      </c>
      <c r="AV13" s="556">
        <v>6212</v>
      </c>
      <c r="AW13" s="556">
        <v>7107</v>
      </c>
      <c r="AX13" s="556">
        <v>8394</v>
      </c>
      <c r="AY13" s="556">
        <v>9737</v>
      </c>
      <c r="AZ13" s="556">
        <v>10497.7</v>
      </c>
      <c r="BA13" s="556">
        <v>11120.27</v>
      </c>
      <c r="BB13" s="556">
        <v>11850.89</v>
      </c>
      <c r="BC13" s="556">
        <v>13446</v>
      </c>
      <c r="BD13" s="556">
        <v>14577</v>
      </c>
      <c r="BE13" s="556">
        <v>16058</v>
      </c>
      <c r="BF13" s="556">
        <v>17488</v>
      </c>
      <c r="BG13" s="556">
        <v>17644</v>
      </c>
      <c r="BH13" s="556">
        <v>16847.5</v>
      </c>
      <c r="BI13" s="556">
        <v>16940.400000000001</v>
      </c>
      <c r="BJ13" s="556">
        <v>17801.5</v>
      </c>
      <c r="BK13" s="556">
        <v>18110</v>
      </c>
      <c r="BL13" s="556">
        <v>17628.400000000001</v>
      </c>
      <c r="BM13" s="556">
        <v>18133</v>
      </c>
      <c r="BN13" s="556">
        <v>17643.5</v>
      </c>
      <c r="BO13" s="556">
        <v>17518.099999999999</v>
      </c>
      <c r="BP13" s="556">
        <v>17874.04</v>
      </c>
      <c r="BQ13" s="556">
        <v>17971</v>
      </c>
      <c r="BR13" s="556">
        <v>18425</v>
      </c>
    </row>
    <row r="14" spans="1:70" s="546" customFormat="1" ht="16.5" customHeight="1" x14ac:dyDescent="0.3">
      <c r="A14" s="551" t="s">
        <v>142</v>
      </c>
      <c r="B14" s="558">
        <v>0</v>
      </c>
      <c r="C14" s="558">
        <v>0</v>
      </c>
      <c r="D14" s="558">
        <v>0</v>
      </c>
      <c r="E14" s="558">
        <v>0</v>
      </c>
      <c r="F14" s="558">
        <v>0</v>
      </c>
      <c r="G14" s="557">
        <v>412</v>
      </c>
      <c r="H14" s="556">
        <v>424.8</v>
      </c>
      <c r="I14" s="557">
        <v>398</v>
      </c>
      <c r="J14" s="556">
        <v>325</v>
      </c>
      <c r="K14" s="557">
        <v>429.1</v>
      </c>
      <c r="L14" s="556">
        <v>328</v>
      </c>
      <c r="M14" s="557">
        <v>120</v>
      </c>
      <c r="N14" s="556">
        <v>120</v>
      </c>
      <c r="O14" s="556">
        <v>74</v>
      </c>
      <c r="P14" s="556">
        <v>77</v>
      </c>
      <c r="Q14" s="556">
        <v>40</v>
      </c>
      <c r="R14" s="556">
        <v>40</v>
      </c>
      <c r="S14" s="556">
        <v>0</v>
      </c>
      <c r="T14" s="556">
        <v>0</v>
      </c>
      <c r="U14" s="556">
        <v>0</v>
      </c>
      <c r="V14" s="556">
        <v>0</v>
      </c>
      <c r="W14" s="556">
        <v>0</v>
      </c>
      <c r="X14" s="556">
        <v>0</v>
      </c>
      <c r="Y14" s="556">
        <v>0</v>
      </c>
      <c r="Z14" s="556">
        <v>0</v>
      </c>
      <c r="AA14" s="556">
        <v>0</v>
      </c>
      <c r="AB14" s="556">
        <v>0</v>
      </c>
      <c r="AC14" s="556">
        <v>0</v>
      </c>
      <c r="AD14" s="556">
        <v>0</v>
      </c>
      <c r="AE14" s="556">
        <v>0</v>
      </c>
      <c r="AF14" s="556">
        <v>0</v>
      </c>
      <c r="AG14" s="556">
        <v>0</v>
      </c>
      <c r="AH14" s="556">
        <v>0</v>
      </c>
      <c r="AI14" s="556">
        <v>0</v>
      </c>
      <c r="AJ14" s="556">
        <v>0</v>
      </c>
      <c r="AK14" s="556">
        <v>0</v>
      </c>
      <c r="AL14" s="556">
        <v>0</v>
      </c>
      <c r="AM14" s="556">
        <v>0</v>
      </c>
      <c r="AN14" s="556">
        <v>0</v>
      </c>
      <c r="AO14" s="556">
        <v>0</v>
      </c>
      <c r="AP14" s="556">
        <v>0</v>
      </c>
      <c r="AQ14" s="556">
        <v>0</v>
      </c>
      <c r="AR14" s="556">
        <v>0</v>
      </c>
      <c r="AS14" s="556">
        <v>0</v>
      </c>
      <c r="AT14" s="556">
        <v>5</v>
      </c>
      <c r="AU14" s="556">
        <v>5</v>
      </c>
      <c r="AV14" s="556">
        <v>6</v>
      </c>
      <c r="AW14" s="556">
        <v>6</v>
      </c>
      <c r="AX14" s="556">
        <v>6</v>
      </c>
      <c r="AY14" s="556">
        <v>6</v>
      </c>
      <c r="AZ14" s="556">
        <v>6</v>
      </c>
      <c r="BA14" s="556">
        <v>6</v>
      </c>
      <c r="BB14" s="556">
        <v>6</v>
      </c>
      <c r="BC14" s="556">
        <v>6</v>
      </c>
      <c r="BD14" s="556">
        <v>5</v>
      </c>
      <c r="BE14" s="556">
        <v>6</v>
      </c>
      <c r="BF14" s="556">
        <v>0</v>
      </c>
      <c r="BG14" s="556">
        <v>0</v>
      </c>
      <c r="BH14" s="556">
        <v>0</v>
      </c>
      <c r="BI14" s="556">
        <v>0</v>
      </c>
      <c r="BJ14" s="556">
        <v>0</v>
      </c>
      <c r="BK14" s="556">
        <v>0</v>
      </c>
      <c r="BL14" s="556">
        <v>0</v>
      </c>
      <c r="BM14" s="556">
        <v>0</v>
      </c>
      <c r="BN14" s="556">
        <v>0</v>
      </c>
      <c r="BO14" s="556">
        <v>0</v>
      </c>
      <c r="BP14" s="556">
        <v>0</v>
      </c>
      <c r="BQ14" s="556">
        <v>0</v>
      </c>
      <c r="BR14" s="556">
        <v>0</v>
      </c>
    </row>
    <row r="15" spans="1:70" ht="16.5" customHeight="1" x14ac:dyDescent="0.3">
      <c r="A15" s="555" t="s">
        <v>530</v>
      </c>
      <c r="B15" s="552">
        <v>2748</v>
      </c>
      <c r="C15" s="552">
        <v>2751</v>
      </c>
      <c r="D15" s="552">
        <v>2736</v>
      </c>
      <c r="E15" s="554">
        <v>2573.9</v>
      </c>
      <c r="F15" s="552">
        <v>2440.7000000000003</v>
      </c>
      <c r="G15" s="553">
        <v>1844.5</v>
      </c>
      <c r="H15" s="552">
        <v>1709.6</v>
      </c>
      <c r="I15" s="553">
        <v>2267</v>
      </c>
      <c r="J15" s="552">
        <v>1753</v>
      </c>
      <c r="K15" s="553">
        <v>1321.1000000000001</v>
      </c>
      <c r="L15" s="552">
        <v>1213</v>
      </c>
      <c r="M15" s="553">
        <v>1469</v>
      </c>
      <c r="N15" s="552">
        <v>1455</v>
      </c>
      <c r="O15" s="552">
        <v>1405</v>
      </c>
      <c r="P15" s="552">
        <v>1427</v>
      </c>
      <c r="Q15" s="552">
        <v>1347</v>
      </c>
      <c r="R15" s="552">
        <v>1326</v>
      </c>
      <c r="S15" s="552">
        <v>1299</v>
      </c>
      <c r="T15" s="552">
        <v>1276</v>
      </c>
      <c r="U15" s="552">
        <v>1194</v>
      </c>
      <c r="V15" s="552">
        <v>1153</v>
      </c>
      <c r="W15" s="552">
        <v>1090</v>
      </c>
      <c r="X15" s="552">
        <v>1056</v>
      </c>
      <c r="Y15" s="552">
        <v>1005</v>
      </c>
      <c r="Z15" s="552">
        <v>1047</v>
      </c>
      <c r="AA15" s="552">
        <v>1000</v>
      </c>
      <c r="AB15" s="552">
        <v>1024</v>
      </c>
      <c r="AC15" s="552">
        <v>990</v>
      </c>
      <c r="AD15" s="552">
        <v>1304</v>
      </c>
      <c r="AE15" s="552">
        <v>1280</v>
      </c>
      <c r="AF15" s="552">
        <v>1582</v>
      </c>
      <c r="AG15" s="552">
        <v>1939</v>
      </c>
      <c r="AH15" s="552">
        <v>2167</v>
      </c>
      <c r="AI15" s="552">
        <v>3167</v>
      </c>
      <c r="AJ15" s="552">
        <v>3271</v>
      </c>
      <c r="AK15" s="552">
        <v>3541</v>
      </c>
      <c r="AL15" s="552">
        <v>3668</v>
      </c>
      <c r="AM15" s="552">
        <v>3741</v>
      </c>
      <c r="AN15" s="552">
        <v>3840</v>
      </c>
      <c r="AO15" s="552">
        <v>3811</v>
      </c>
      <c r="AP15" s="552">
        <v>3822</v>
      </c>
      <c r="AQ15" s="552">
        <v>3860</v>
      </c>
      <c r="AR15" s="552">
        <v>3916</v>
      </c>
      <c r="AS15" s="552">
        <v>7572</v>
      </c>
      <c r="AT15" s="552">
        <v>8001.5</v>
      </c>
      <c r="AU15" s="552">
        <v>8064</v>
      </c>
      <c r="AV15" s="552">
        <v>7848</v>
      </c>
      <c r="AW15" s="552">
        <v>7757</v>
      </c>
      <c r="AX15" s="552">
        <v>7776</v>
      </c>
      <c r="AY15" s="552">
        <v>8168</v>
      </c>
      <c r="AZ15" s="552">
        <v>7993</v>
      </c>
      <c r="BA15" s="552">
        <v>8143</v>
      </c>
      <c r="BB15" s="552">
        <v>8275</v>
      </c>
      <c r="BC15" s="552">
        <v>8312</v>
      </c>
      <c r="BD15" s="552">
        <v>8077</v>
      </c>
      <c r="BE15" s="552">
        <v>7859</v>
      </c>
      <c r="BF15" s="552">
        <v>7974</v>
      </c>
      <c r="BG15" s="552">
        <v>7971</v>
      </c>
      <c r="BH15" s="552">
        <v>7610.2</v>
      </c>
      <c r="BI15" s="552">
        <v>7535</v>
      </c>
      <c r="BJ15" s="552">
        <v>7905</v>
      </c>
      <c r="BK15" s="552">
        <v>7875</v>
      </c>
      <c r="BL15" s="552">
        <v>7298</v>
      </c>
      <c r="BM15" s="552">
        <v>7331</v>
      </c>
      <c r="BN15" s="552">
        <v>6785</v>
      </c>
      <c r="BO15" s="552">
        <v>6557.32</v>
      </c>
      <c r="BP15" s="552">
        <v>6315.13</v>
      </c>
      <c r="BQ15" s="552">
        <v>6568</v>
      </c>
      <c r="BR15" s="552">
        <v>6364</v>
      </c>
    </row>
    <row r="16" spans="1:70" s="546" customFormat="1" ht="16.5" customHeight="1" x14ac:dyDescent="0.3">
      <c r="A16" s="551" t="s">
        <v>143</v>
      </c>
      <c r="B16" s="550">
        <v>2683</v>
      </c>
      <c r="C16" s="550">
        <v>2685</v>
      </c>
      <c r="D16" s="547">
        <v>2670</v>
      </c>
      <c r="E16" s="549">
        <v>2512.1</v>
      </c>
      <c r="F16" s="547">
        <v>2388.4</v>
      </c>
      <c r="G16" s="548">
        <v>1790.9</v>
      </c>
      <c r="H16" s="547">
        <v>1654.1</v>
      </c>
      <c r="I16" s="548">
        <v>2219</v>
      </c>
      <c r="J16" s="547">
        <v>1698</v>
      </c>
      <c r="K16" s="548">
        <v>1136.7</v>
      </c>
      <c r="L16" s="547">
        <v>1050</v>
      </c>
      <c r="M16" s="548">
        <v>1258</v>
      </c>
      <c r="N16" s="547">
        <v>1252</v>
      </c>
      <c r="O16" s="547">
        <v>1220</v>
      </c>
      <c r="P16" s="547">
        <v>1240</v>
      </c>
      <c r="Q16" s="547">
        <v>1177</v>
      </c>
      <c r="R16" s="547">
        <v>1169</v>
      </c>
      <c r="S16" s="547">
        <v>1138</v>
      </c>
      <c r="T16" s="547">
        <v>1118</v>
      </c>
      <c r="U16" s="547">
        <v>1036</v>
      </c>
      <c r="V16" s="547">
        <v>995</v>
      </c>
      <c r="W16" s="547">
        <v>945</v>
      </c>
      <c r="X16" s="547">
        <v>922</v>
      </c>
      <c r="Y16" s="547">
        <v>876</v>
      </c>
      <c r="Z16" s="547">
        <v>942</v>
      </c>
      <c r="AA16" s="547">
        <v>895</v>
      </c>
      <c r="AB16" s="547">
        <v>875</v>
      </c>
      <c r="AC16" s="547">
        <v>843</v>
      </c>
      <c r="AD16" s="547">
        <v>1164</v>
      </c>
      <c r="AE16" s="547">
        <v>1141</v>
      </c>
      <c r="AF16" s="547">
        <v>1451</v>
      </c>
      <c r="AG16" s="547">
        <v>1815</v>
      </c>
      <c r="AH16" s="547">
        <v>2052</v>
      </c>
      <c r="AI16" s="547">
        <v>3048</v>
      </c>
      <c r="AJ16" s="547">
        <v>3161</v>
      </c>
      <c r="AK16" s="547">
        <v>3430</v>
      </c>
      <c r="AL16" s="547">
        <v>3565</v>
      </c>
      <c r="AM16" s="547">
        <v>3640</v>
      </c>
      <c r="AN16" s="547">
        <v>3750</v>
      </c>
      <c r="AO16" s="547">
        <v>3723</v>
      </c>
      <c r="AP16" s="547">
        <v>3745</v>
      </c>
      <c r="AQ16" s="547">
        <v>3781</v>
      </c>
      <c r="AR16" s="547">
        <v>3848</v>
      </c>
      <c r="AS16" s="547">
        <v>7503</v>
      </c>
      <c r="AT16" s="547">
        <v>7928.5</v>
      </c>
      <c r="AU16" s="547">
        <v>8000</v>
      </c>
      <c r="AV16" s="547">
        <v>7794</v>
      </c>
      <c r="AW16" s="547">
        <v>7702</v>
      </c>
      <c r="AX16" s="547">
        <v>7735</v>
      </c>
      <c r="AY16" s="547">
        <v>8124</v>
      </c>
      <c r="AZ16" s="547">
        <v>7964</v>
      </c>
      <c r="BA16" s="547">
        <v>8114</v>
      </c>
      <c r="BB16" s="547">
        <v>8261</v>
      </c>
      <c r="BC16" s="547">
        <v>8298</v>
      </c>
      <c r="BD16" s="547">
        <v>8077</v>
      </c>
      <c r="BE16" s="547">
        <v>7859</v>
      </c>
      <c r="BF16" s="547">
        <v>7974</v>
      </c>
      <c r="BG16" s="547">
        <v>7971</v>
      </c>
      <c r="BH16" s="547">
        <v>7610.2</v>
      </c>
      <c r="BI16" s="547">
        <v>7535</v>
      </c>
      <c r="BJ16" s="547">
        <v>7905</v>
      </c>
      <c r="BK16" s="547">
        <v>7875</v>
      </c>
      <c r="BL16" s="547">
        <v>7298</v>
      </c>
      <c r="BM16" s="547">
        <v>7331</v>
      </c>
      <c r="BN16" s="547">
        <v>6785</v>
      </c>
      <c r="BO16" s="547">
        <v>6557.32</v>
      </c>
      <c r="BP16" s="547">
        <v>6315.13</v>
      </c>
      <c r="BQ16" s="547">
        <v>6568</v>
      </c>
      <c r="BR16" s="547">
        <v>6364</v>
      </c>
    </row>
    <row r="17" spans="1:70" s="546" customFormat="1" ht="16.5" customHeight="1" x14ac:dyDescent="0.3">
      <c r="A17" s="551" t="s">
        <v>142</v>
      </c>
      <c r="B17" s="550">
        <v>65</v>
      </c>
      <c r="C17" s="550">
        <v>66</v>
      </c>
      <c r="D17" s="547">
        <v>66</v>
      </c>
      <c r="E17" s="549">
        <v>61.8</v>
      </c>
      <c r="F17" s="547">
        <v>52.3</v>
      </c>
      <c r="G17" s="548">
        <v>53.6</v>
      </c>
      <c r="H17" s="547">
        <v>55.5</v>
      </c>
      <c r="I17" s="548">
        <v>48</v>
      </c>
      <c r="J17" s="547">
        <v>55</v>
      </c>
      <c r="K17" s="548">
        <v>184.4</v>
      </c>
      <c r="L17" s="547">
        <v>163</v>
      </c>
      <c r="M17" s="548">
        <v>211</v>
      </c>
      <c r="N17" s="547">
        <v>203</v>
      </c>
      <c r="O17" s="547">
        <v>185</v>
      </c>
      <c r="P17" s="547">
        <v>187</v>
      </c>
      <c r="Q17" s="547">
        <v>170</v>
      </c>
      <c r="R17" s="547">
        <v>157</v>
      </c>
      <c r="S17" s="547">
        <v>161</v>
      </c>
      <c r="T17" s="547">
        <v>158</v>
      </c>
      <c r="U17" s="547">
        <v>158</v>
      </c>
      <c r="V17" s="547">
        <v>158</v>
      </c>
      <c r="W17" s="547">
        <v>145</v>
      </c>
      <c r="X17" s="547">
        <v>134</v>
      </c>
      <c r="Y17" s="547">
        <v>129</v>
      </c>
      <c r="Z17" s="547">
        <v>105</v>
      </c>
      <c r="AA17" s="547">
        <v>105</v>
      </c>
      <c r="AB17" s="547">
        <v>149</v>
      </c>
      <c r="AC17" s="547">
        <v>147</v>
      </c>
      <c r="AD17" s="547">
        <v>140</v>
      </c>
      <c r="AE17" s="547">
        <v>139</v>
      </c>
      <c r="AF17" s="547">
        <v>131</v>
      </c>
      <c r="AG17" s="547">
        <v>124</v>
      </c>
      <c r="AH17" s="547">
        <v>115</v>
      </c>
      <c r="AI17" s="547">
        <v>119</v>
      </c>
      <c r="AJ17" s="547">
        <v>110</v>
      </c>
      <c r="AK17" s="547">
        <v>111</v>
      </c>
      <c r="AL17" s="547">
        <v>103</v>
      </c>
      <c r="AM17" s="547">
        <v>101</v>
      </c>
      <c r="AN17" s="547">
        <v>90</v>
      </c>
      <c r="AO17" s="547">
        <v>88</v>
      </c>
      <c r="AP17" s="547">
        <v>77</v>
      </c>
      <c r="AQ17" s="547">
        <v>79</v>
      </c>
      <c r="AR17" s="547">
        <v>68</v>
      </c>
      <c r="AS17" s="547">
        <v>69</v>
      </c>
      <c r="AT17" s="547">
        <v>73</v>
      </c>
      <c r="AU17" s="547">
        <v>64</v>
      </c>
      <c r="AV17" s="547">
        <v>54</v>
      </c>
      <c r="AW17" s="547">
        <v>55</v>
      </c>
      <c r="AX17" s="547">
        <v>41</v>
      </c>
      <c r="AY17" s="547">
        <v>44</v>
      </c>
      <c r="AZ17" s="547">
        <v>29</v>
      </c>
      <c r="BA17" s="547">
        <v>29</v>
      </c>
      <c r="BB17" s="547">
        <v>14</v>
      </c>
      <c r="BC17" s="547">
        <v>14</v>
      </c>
      <c r="BD17" s="547">
        <v>0</v>
      </c>
      <c r="BE17" s="547">
        <v>0</v>
      </c>
      <c r="BF17" s="547">
        <v>0</v>
      </c>
      <c r="BG17" s="547">
        <v>0</v>
      </c>
      <c r="BH17" s="547">
        <v>0</v>
      </c>
      <c r="BI17" s="547">
        <v>0</v>
      </c>
      <c r="BJ17" s="547">
        <v>0</v>
      </c>
      <c r="BK17" s="547">
        <v>0</v>
      </c>
      <c r="BL17" s="547">
        <v>0</v>
      </c>
      <c r="BM17" s="547">
        <v>0</v>
      </c>
      <c r="BN17" s="547">
        <v>0</v>
      </c>
      <c r="BO17" s="547">
        <v>0</v>
      </c>
      <c r="BP17" s="547">
        <v>0</v>
      </c>
      <c r="BQ17" s="547">
        <v>0</v>
      </c>
      <c r="BR17" s="547">
        <v>0</v>
      </c>
    </row>
    <row r="18" spans="1:70" ht="18.75" customHeight="1" x14ac:dyDescent="0.3">
      <c r="A18" s="555" t="s">
        <v>1007</v>
      </c>
      <c r="B18" s="552">
        <v>3567</v>
      </c>
      <c r="C18" s="552">
        <v>3552</v>
      </c>
      <c r="D18" s="552">
        <v>3449</v>
      </c>
      <c r="E18" s="554">
        <v>5645.5</v>
      </c>
      <c r="F18" s="552">
        <v>6944.3</v>
      </c>
      <c r="G18" s="553">
        <v>7233.6</v>
      </c>
      <c r="H18" s="552">
        <v>7036.9</v>
      </c>
      <c r="I18" s="553">
        <v>6252</v>
      </c>
      <c r="J18" s="552">
        <v>6332</v>
      </c>
      <c r="K18" s="553">
        <v>5990</v>
      </c>
      <c r="L18" s="552">
        <v>6912</v>
      </c>
      <c r="M18" s="553">
        <v>9775</v>
      </c>
      <c r="N18" s="552">
        <v>9734</v>
      </c>
      <c r="O18" s="552">
        <v>9583</v>
      </c>
      <c r="P18" s="552">
        <v>9821</v>
      </c>
      <c r="Q18" s="552">
        <v>9681</v>
      </c>
      <c r="R18" s="552">
        <v>9787</v>
      </c>
      <c r="S18" s="552">
        <v>9709</v>
      </c>
      <c r="T18" s="552">
        <v>9568</v>
      </c>
      <c r="U18" s="552">
        <v>9382</v>
      </c>
      <c r="V18" s="552">
        <v>9782</v>
      </c>
      <c r="W18" s="552">
        <v>9670</v>
      </c>
      <c r="X18" s="552">
        <v>9808</v>
      </c>
      <c r="Y18" s="552">
        <v>9780</v>
      </c>
      <c r="Z18" s="552">
        <v>10935</v>
      </c>
      <c r="AA18" s="552">
        <v>10617</v>
      </c>
      <c r="AB18" s="552">
        <v>10232</v>
      </c>
      <c r="AC18" s="552">
        <v>10256</v>
      </c>
      <c r="AD18" s="552">
        <v>9636</v>
      </c>
      <c r="AE18" s="552">
        <v>9687</v>
      </c>
      <c r="AF18" s="552">
        <v>9614</v>
      </c>
      <c r="AG18" s="552">
        <v>9155</v>
      </c>
      <c r="AH18" s="552">
        <v>8518</v>
      </c>
      <c r="AI18" s="552">
        <v>8294</v>
      </c>
      <c r="AJ18" s="552">
        <v>7670</v>
      </c>
      <c r="AK18" s="552">
        <v>7580</v>
      </c>
      <c r="AL18" s="552">
        <v>7057</v>
      </c>
      <c r="AM18" s="552">
        <v>7980</v>
      </c>
      <c r="AN18" s="552">
        <v>8113</v>
      </c>
      <c r="AO18" s="552">
        <v>8115</v>
      </c>
      <c r="AP18" s="552">
        <v>7719</v>
      </c>
      <c r="AQ18" s="552">
        <v>7928</v>
      </c>
      <c r="AR18" s="552">
        <v>7575</v>
      </c>
      <c r="AS18" s="552">
        <v>7901</v>
      </c>
      <c r="AT18" s="552">
        <v>7938.2999999999993</v>
      </c>
      <c r="AU18" s="552">
        <v>8125</v>
      </c>
      <c r="AV18" s="552">
        <v>7564</v>
      </c>
      <c r="AW18" s="552">
        <v>7647</v>
      </c>
      <c r="AX18" s="552">
        <v>7293</v>
      </c>
      <c r="AY18" s="552">
        <v>7782</v>
      </c>
      <c r="AZ18" s="552">
        <v>7350</v>
      </c>
      <c r="BA18" s="552">
        <v>7225</v>
      </c>
      <c r="BB18" s="552">
        <v>6803</v>
      </c>
      <c r="BC18" s="552">
        <v>6949</v>
      </c>
      <c r="BD18" s="552">
        <v>6320</v>
      </c>
      <c r="BE18" s="552">
        <v>6150</v>
      </c>
      <c r="BF18" s="552">
        <v>5782</v>
      </c>
      <c r="BG18" s="552">
        <v>5779</v>
      </c>
      <c r="BH18" s="552">
        <v>5061.3999999999996</v>
      </c>
      <c r="BI18" s="552">
        <v>5011</v>
      </c>
      <c r="BJ18" s="552">
        <v>4675</v>
      </c>
      <c r="BK18" s="552">
        <v>4743</v>
      </c>
      <c r="BL18" s="552">
        <v>4018</v>
      </c>
      <c r="BM18" s="552">
        <v>4116</v>
      </c>
      <c r="BN18" s="552">
        <v>3396</v>
      </c>
      <c r="BO18" s="552">
        <v>3351.53</v>
      </c>
      <c r="BP18" s="552">
        <v>3265</v>
      </c>
      <c r="BQ18" s="552">
        <v>3275</v>
      </c>
      <c r="BR18" s="552">
        <v>3204</v>
      </c>
    </row>
    <row r="19" spans="1:70" s="546" customFormat="1" ht="16.5" customHeight="1" x14ac:dyDescent="0.3">
      <c r="A19" s="551" t="s">
        <v>143</v>
      </c>
      <c r="B19" s="550">
        <v>2636</v>
      </c>
      <c r="C19" s="550">
        <v>2505</v>
      </c>
      <c r="D19" s="547">
        <v>2349</v>
      </c>
      <c r="E19" s="549">
        <v>2461.5</v>
      </c>
      <c r="F19" s="547">
        <v>2787.3</v>
      </c>
      <c r="G19" s="548">
        <v>3940.2</v>
      </c>
      <c r="H19" s="547">
        <v>4026.9</v>
      </c>
      <c r="I19" s="548">
        <v>3685</v>
      </c>
      <c r="J19" s="547">
        <v>3612</v>
      </c>
      <c r="K19" s="548">
        <v>3252</v>
      </c>
      <c r="L19" s="547">
        <v>4472</v>
      </c>
      <c r="M19" s="548">
        <v>7741</v>
      </c>
      <c r="N19" s="547">
        <v>7702</v>
      </c>
      <c r="O19" s="547">
        <v>7695</v>
      </c>
      <c r="P19" s="547">
        <v>7944</v>
      </c>
      <c r="Q19" s="547">
        <v>7907</v>
      </c>
      <c r="R19" s="547">
        <v>8065</v>
      </c>
      <c r="S19" s="547">
        <v>8003</v>
      </c>
      <c r="T19" s="547">
        <v>7867</v>
      </c>
      <c r="U19" s="547">
        <v>7716</v>
      </c>
      <c r="V19" s="547">
        <v>8176</v>
      </c>
      <c r="W19" s="547">
        <v>8103</v>
      </c>
      <c r="X19" s="547">
        <v>8342</v>
      </c>
      <c r="Y19" s="547">
        <v>8401</v>
      </c>
      <c r="Z19" s="547">
        <v>9570</v>
      </c>
      <c r="AA19" s="547">
        <v>9291</v>
      </c>
      <c r="AB19" s="547">
        <v>8927</v>
      </c>
      <c r="AC19" s="547">
        <v>9021</v>
      </c>
      <c r="AD19" s="547">
        <v>8421</v>
      </c>
      <c r="AE19" s="547">
        <v>8526</v>
      </c>
      <c r="AF19" s="547">
        <v>8494</v>
      </c>
      <c r="AG19" s="547">
        <v>8134</v>
      </c>
      <c r="AH19" s="547">
        <v>7544</v>
      </c>
      <c r="AI19" s="547">
        <v>7328</v>
      </c>
      <c r="AJ19" s="547">
        <v>6744</v>
      </c>
      <c r="AK19" s="547">
        <v>6696</v>
      </c>
      <c r="AL19" s="547">
        <v>6205</v>
      </c>
      <c r="AM19" s="547">
        <v>7199</v>
      </c>
      <c r="AN19" s="547">
        <v>7393</v>
      </c>
      <c r="AO19" s="547">
        <v>7459</v>
      </c>
      <c r="AP19" s="547">
        <v>7116</v>
      </c>
      <c r="AQ19" s="547">
        <v>7360</v>
      </c>
      <c r="AR19" s="547">
        <v>7068</v>
      </c>
      <c r="AS19" s="547">
        <v>7437</v>
      </c>
      <c r="AT19" s="547">
        <v>7504.9</v>
      </c>
      <c r="AU19" s="547">
        <v>7673</v>
      </c>
      <c r="AV19" s="547">
        <v>7096</v>
      </c>
      <c r="AW19" s="547">
        <v>7162</v>
      </c>
      <c r="AX19" s="547">
        <v>6819</v>
      </c>
      <c r="AY19" s="547">
        <v>7274</v>
      </c>
      <c r="AZ19" s="547">
        <v>6854</v>
      </c>
      <c r="BA19" s="547">
        <v>7225</v>
      </c>
      <c r="BB19" s="547">
        <v>6803</v>
      </c>
      <c r="BC19" s="547">
        <v>6949</v>
      </c>
      <c r="BD19" s="547">
        <v>6320</v>
      </c>
      <c r="BE19" s="547">
        <v>6150</v>
      </c>
      <c r="BF19" s="547">
        <v>5782</v>
      </c>
      <c r="BG19" s="547">
        <v>5779</v>
      </c>
      <c r="BH19" s="547">
        <v>5061.3999999999996</v>
      </c>
      <c r="BI19" s="547">
        <v>5011</v>
      </c>
      <c r="BJ19" s="547">
        <v>4675</v>
      </c>
      <c r="BK19" s="547">
        <v>4743</v>
      </c>
      <c r="BL19" s="547">
        <v>4018</v>
      </c>
      <c r="BM19" s="547">
        <v>4116</v>
      </c>
      <c r="BN19" s="547">
        <v>3396</v>
      </c>
      <c r="BO19" s="547">
        <v>3351.53</v>
      </c>
      <c r="BP19" s="547">
        <v>3265</v>
      </c>
      <c r="BQ19" s="547">
        <v>3275</v>
      </c>
      <c r="BR19" s="547">
        <v>3204</v>
      </c>
    </row>
    <row r="20" spans="1:70" s="546" customFormat="1" ht="16.5" customHeight="1" x14ac:dyDescent="0.3">
      <c r="A20" s="551" t="s">
        <v>142</v>
      </c>
      <c r="B20" s="550">
        <v>931</v>
      </c>
      <c r="C20" s="550">
        <v>1047</v>
      </c>
      <c r="D20" s="547">
        <v>1100</v>
      </c>
      <c r="E20" s="549">
        <v>3184</v>
      </c>
      <c r="F20" s="547">
        <v>4157</v>
      </c>
      <c r="G20" s="548">
        <v>3293.4</v>
      </c>
      <c r="H20" s="547">
        <v>3010</v>
      </c>
      <c r="I20" s="548">
        <v>2567</v>
      </c>
      <c r="J20" s="547">
        <v>2720</v>
      </c>
      <c r="K20" s="548">
        <v>2738</v>
      </c>
      <c r="L20" s="547">
        <v>2440</v>
      </c>
      <c r="M20" s="548">
        <v>2034</v>
      </c>
      <c r="N20" s="547">
        <v>2032</v>
      </c>
      <c r="O20" s="547">
        <v>1888</v>
      </c>
      <c r="P20" s="547">
        <v>1877</v>
      </c>
      <c r="Q20" s="547">
        <v>1774</v>
      </c>
      <c r="R20" s="547">
        <v>1722</v>
      </c>
      <c r="S20" s="547">
        <v>1706</v>
      </c>
      <c r="T20" s="547">
        <v>1701</v>
      </c>
      <c r="U20" s="547">
        <v>1666</v>
      </c>
      <c r="V20" s="547">
        <v>1606</v>
      </c>
      <c r="W20" s="547">
        <v>1567</v>
      </c>
      <c r="X20" s="547">
        <v>1466</v>
      </c>
      <c r="Y20" s="547">
        <v>1379</v>
      </c>
      <c r="Z20" s="547">
        <v>1365</v>
      </c>
      <c r="AA20" s="547">
        <v>1326</v>
      </c>
      <c r="AB20" s="547">
        <v>1305</v>
      </c>
      <c r="AC20" s="547">
        <v>1235</v>
      </c>
      <c r="AD20" s="547">
        <v>1215</v>
      </c>
      <c r="AE20" s="547">
        <v>1161</v>
      </c>
      <c r="AF20" s="547">
        <v>1120</v>
      </c>
      <c r="AG20" s="547">
        <v>1021</v>
      </c>
      <c r="AH20" s="547">
        <v>974</v>
      </c>
      <c r="AI20" s="547">
        <v>966</v>
      </c>
      <c r="AJ20" s="547">
        <v>926</v>
      </c>
      <c r="AK20" s="547">
        <v>884</v>
      </c>
      <c r="AL20" s="547">
        <v>852</v>
      </c>
      <c r="AM20" s="547">
        <v>781</v>
      </c>
      <c r="AN20" s="547">
        <v>720</v>
      </c>
      <c r="AO20" s="547">
        <v>656</v>
      </c>
      <c r="AP20" s="547">
        <v>603</v>
      </c>
      <c r="AQ20" s="547">
        <v>568</v>
      </c>
      <c r="AR20" s="547">
        <v>507</v>
      </c>
      <c r="AS20" s="547">
        <v>464</v>
      </c>
      <c r="AT20" s="547">
        <v>433.4</v>
      </c>
      <c r="AU20" s="547">
        <v>452</v>
      </c>
      <c r="AV20" s="547">
        <v>468</v>
      </c>
      <c r="AW20" s="547">
        <v>485</v>
      </c>
      <c r="AX20" s="547">
        <v>474</v>
      </c>
      <c r="AY20" s="547">
        <v>508</v>
      </c>
      <c r="AZ20" s="547">
        <v>496</v>
      </c>
      <c r="BA20" s="547">
        <v>0</v>
      </c>
      <c r="BB20" s="547">
        <v>0</v>
      </c>
      <c r="BC20" s="547">
        <v>0</v>
      </c>
      <c r="BD20" s="547">
        <v>0</v>
      </c>
      <c r="BE20" s="547">
        <v>0</v>
      </c>
      <c r="BF20" s="547">
        <v>0</v>
      </c>
      <c r="BG20" s="547">
        <v>0</v>
      </c>
      <c r="BH20" s="547">
        <v>0</v>
      </c>
      <c r="BI20" s="547">
        <v>0</v>
      </c>
      <c r="BJ20" s="547">
        <v>0</v>
      </c>
      <c r="BK20" s="547">
        <v>0</v>
      </c>
      <c r="BL20" s="547">
        <v>0</v>
      </c>
      <c r="BM20" s="547">
        <v>0</v>
      </c>
      <c r="BN20" s="547">
        <v>0</v>
      </c>
      <c r="BO20" s="547">
        <v>0</v>
      </c>
      <c r="BP20" s="547">
        <v>0</v>
      </c>
      <c r="BQ20" s="547">
        <v>0</v>
      </c>
      <c r="BR20" s="547">
        <v>0</v>
      </c>
    </row>
    <row r="21" spans="1:70" ht="16.5" customHeight="1" x14ac:dyDescent="0.3">
      <c r="A21" s="114"/>
      <c r="B21" s="543"/>
      <c r="C21" s="543"/>
      <c r="D21" s="543"/>
      <c r="E21" s="545"/>
      <c r="F21" s="543"/>
      <c r="G21" s="542"/>
      <c r="H21" s="543"/>
      <c r="I21" s="544"/>
      <c r="J21" s="541"/>
      <c r="K21" s="544"/>
      <c r="L21" s="543"/>
      <c r="M21" s="542"/>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U21" s="541"/>
      <c r="AV21" s="541"/>
      <c r="AW21" s="541"/>
      <c r="AX21" s="541"/>
      <c r="AY21" s="541"/>
      <c r="AZ21" s="541"/>
      <c r="BA21" s="541"/>
      <c r="BB21" s="541"/>
      <c r="BC21" s="541"/>
      <c r="BD21" s="541"/>
      <c r="BE21" s="541"/>
      <c r="BF21" s="541"/>
      <c r="BG21" s="541"/>
      <c r="BH21" s="541"/>
      <c r="BI21" s="541"/>
      <c r="BJ21" s="541"/>
      <c r="BK21" s="541"/>
      <c r="BL21" s="541"/>
      <c r="BM21" s="541"/>
      <c r="BN21" s="541"/>
      <c r="BO21" s="541"/>
      <c r="BP21" s="541"/>
      <c r="BQ21" s="541"/>
      <c r="BR21" s="541"/>
    </row>
    <row r="22" spans="1:70" ht="18.899999999999999" customHeight="1" x14ac:dyDescent="0.3">
      <c r="A22" s="1326" t="s">
        <v>111</v>
      </c>
      <c r="B22" s="1326"/>
      <c r="C22" s="1326"/>
      <c r="D22" s="1326"/>
      <c r="E22" s="1326"/>
      <c r="F22" s="1326"/>
      <c r="G22" s="1326"/>
      <c r="H22" s="1326"/>
      <c r="I22" s="1326"/>
      <c r="J22" s="1326"/>
      <c r="K22" s="1326"/>
      <c r="L22" s="1326"/>
      <c r="M22" s="1326"/>
      <c r="N22" s="1326"/>
      <c r="O22" s="1326"/>
      <c r="P22" s="1326"/>
      <c r="Q22" s="1326"/>
      <c r="R22" s="1326"/>
      <c r="S22" s="1326"/>
      <c r="T22" s="1326"/>
      <c r="U22" s="1326"/>
      <c r="V22" s="1326"/>
      <c r="W22" s="1326"/>
      <c r="X22" s="1326"/>
      <c r="Y22" s="1326"/>
      <c r="Z22" s="1326"/>
      <c r="AA22" s="1326"/>
      <c r="AB22" s="1326"/>
      <c r="AC22" s="1326"/>
      <c r="AD22" s="1326"/>
      <c r="AE22" s="1326"/>
      <c r="AF22" s="1326"/>
      <c r="AG22" s="1326"/>
      <c r="AH22" s="1326"/>
      <c r="AI22" s="1326"/>
      <c r="AJ22" s="1326"/>
      <c r="AK22" s="1326"/>
      <c r="AL22" s="1326"/>
      <c r="AM22" s="1326"/>
      <c r="AN22" s="1326"/>
      <c r="AO22" s="1326"/>
      <c r="AP22" s="1326"/>
      <c r="AQ22" s="1326"/>
      <c r="AR22" s="1326"/>
      <c r="AS22" s="1326"/>
      <c r="AT22" s="1326"/>
      <c r="AU22" s="1326"/>
      <c r="AV22" s="1326"/>
      <c r="AW22" s="1326"/>
      <c r="AX22" s="1326"/>
      <c r="AY22" s="1326"/>
      <c r="AZ22" s="1326"/>
      <c r="BA22" s="1326"/>
      <c r="BB22" s="1326"/>
      <c r="BC22" s="1326"/>
      <c r="BD22" s="1326"/>
      <c r="BE22" s="1326"/>
      <c r="BF22" s="1326"/>
      <c r="BG22" s="1326"/>
      <c r="BH22" s="1326"/>
      <c r="BI22" s="1326"/>
      <c r="BJ22" s="1326"/>
      <c r="BK22" s="1326"/>
      <c r="BL22" s="1326"/>
      <c r="BM22" s="1326"/>
      <c r="BN22" s="1326"/>
      <c r="BO22" s="1326"/>
      <c r="BP22" s="1326"/>
      <c r="BQ22" s="1326"/>
      <c r="BR22" s="1326"/>
    </row>
    <row r="23" spans="1:70" ht="12.75" customHeight="1" x14ac:dyDescent="0.3">
      <c r="A23" s="1327" t="s">
        <v>529</v>
      </c>
      <c r="B23" s="1327"/>
      <c r="C23" s="1327"/>
      <c r="D23" s="1327"/>
      <c r="E23" s="1327"/>
      <c r="F23" s="1327"/>
      <c r="G23" s="1327"/>
      <c r="H23" s="1327"/>
      <c r="I23" s="1327"/>
      <c r="J23" s="1327"/>
      <c r="K23" s="1327"/>
      <c r="L23" s="1327"/>
      <c r="M23" s="1327"/>
      <c r="N23" s="1327"/>
      <c r="O23" s="1327"/>
      <c r="P23" s="1327"/>
      <c r="Q23" s="1327"/>
      <c r="R23" s="1327"/>
      <c r="S23" s="1327"/>
      <c r="T23" s="1327"/>
      <c r="U23" s="1327"/>
      <c r="V23" s="1327"/>
      <c r="W23" s="1327"/>
      <c r="X23" s="1327"/>
      <c r="Y23" s="1327"/>
      <c r="Z23" s="1327"/>
      <c r="AA23" s="1327"/>
      <c r="AB23" s="1327"/>
      <c r="AC23" s="1327"/>
      <c r="AD23" s="1327"/>
      <c r="AE23" s="1327"/>
      <c r="AF23" s="1327"/>
      <c r="AG23" s="1327"/>
      <c r="AH23" s="1327"/>
      <c r="AI23" s="1327"/>
      <c r="AJ23" s="1327"/>
      <c r="AK23" s="1327"/>
      <c r="AL23" s="1327"/>
      <c r="AM23" s="1327"/>
      <c r="AN23" s="1327"/>
      <c r="AO23" s="1327"/>
      <c r="AP23" s="1327"/>
      <c r="AQ23" s="1327"/>
      <c r="AR23" s="1327"/>
      <c r="AS23" s="1327"/>
      <c r="AT23" s="1327"/>
      <c r="AU23" s="1327"/>
      <c r="AV23" s="1327"/>
      <c r="AW23" s="1327"/>
      <c r="AX23" s="1327"/>
      <c r="AY23" s="1327"/>
      <c r="AZ23" s="1327"/>
      <c r="BA23" s="1327"/>
      <c r="BB23" s="1327"/>
      <c r="BC23" s="1327"/>
      <c r="BD23" s="1327"/>
      <c r="BE23" s="1327"/>
      <c r="BF23" s="1327"/>
      <c r="BG23" s="1327"/>
      <c r="BH23" s="1327"/>
      <c r="BI23" s="1327"/>
      <c r="BJ23" s="1327"/>
      <c r="BK23" s="1327"/>
      <c r="BL23" s="1327"/>
      <c r="BM23" s="1327"/>
      <c r="BN23" s="1327"/>
      <c r="BO23" s="1327"/>
      <c r="BP23" s="1327"/>
      <c r="BQ23" s="1327"/>
      <c r="BR23" s="1327"/>
    </row>
    <row r="24" spans="1:70" ht="12.75" customHeight="1" x14ac:dyDescent="0.3">
      <c r="A24" s="1328" t="s">
        <v>528</v>
      </c>
      <c r="B24" s="1328"/>
      <c r="C24" s="1328"/>
      <c r="D24" s="1328"/>
      <c r="E24" s="1328"/>
      <c r="F24" s="1328"/>
      <c r="G24" s="1328"/>
      <c r="H24" s="1328"/>
      <c r="I24" s="1328"/>
      <c r="J24" s="1328"/>
      <c r="K24" s="1328"/>
      <c r="L24" s="1328"/>
      <c r="M24" s="1328"/>
      <c r="N24" s="1328"/>
      <c r="O24" s="1328"/>
      <c r="P24" s="1328"/>
      <c r="Q24" s="1328"/>
      <c r="R24" s="1328"/>
      <c r="S24" s="1328"/>
      <c r="T24" s="1328"/>
      <c r="U24" s="1328"/>
      <c r="V24" s="1328"/>
      <c r="W24" s="1328"/>
      <c r="X24" s="1328"/>
      <c r="Y24" s="1328"/>
      <c r="Z24" s="1328"/>
      <c r="AA24" s="1328"/>
      <c r="AB24" s="1328"/>
      <c r="AC24" s="1328"/>
      <c r="AD24" s="1328"/>
      <c r="AE24" s="1328"/>
      <c r="AF24" s="1328"/>
      <c r="AG24" s="1328"/>
      <c r="AH24" s="1328"/>
      <c r="AI24" s="1328"/>
      <c r="AJ24" s="1328"/>
      <c r="AK24" s="1328"/>
      <c r="AL24" s="1328"/>
      <c r="AM24" s="1328"/>
      <c r="AN24" s="1328"/>
      <c r="AO24" s="1328"/>
      <c r="AP24" s="1328"/>
      <c r="AQ24" s="1328"/>
      <c r="AR24" s="1328"/>
      <c r="AS24" s="1328"/>
      <c r="AT24" s="1328"/>
      <c r="AU24" s="1328"/>
      <c r="AV24" s="1328"/>
      <c r="AW24" s="1328"/>
      <c r="AX24" s="1328"/>
      <c r="AY24" s="1328"/>
      <c r="AZ24" s="1328"/>
      <c r="BA24" s="1328"/>
      <c r="BB24" s="1328"/>
      <c r="BC24" s="1328"/>
      <c r="BD24" s="1328"/>
      <c r="BE24" s="1328"/>
      <c r="BF24" s="1328"/>
      <c r="BG24" s="1328"/>
      <c r="BH24" s="1328"/>
      <c r="BI24" s="1328"/>
      <c r="BJ24" s="1328"/>
      <c r="BK24" s="1328"/>
      <c r="BL24" s="1328"/>
      <c r="BM24" s="1328"/>
      <c r="BN24" s="1328"/>
      <c r="BO24" s="1328"/>
      <c r="BP24" s="1328"/>
      <c r="BQ24" s="1328"/>
      <c r="BR24" s="1328"/>
    </row>
    <row r="25" spans="1:70" ht="12.75" customHeight="1" x14ac:dyDescent="0.3">
      <c r="A25" s="1134" t="s">
        <v>1006</v>
      </c>
      <c r="B25" s="1134"/>
      <c r="C25" s="1134"/>
      <c r="D25" s="1134"/>
      <c r="E25" s="1134"/>
      <c r="F25" s="1134"/>
      <c r="G25" s="1134"/>
      <c r="H25" s="1134"/>
      <c r="I25" s="1134"/>
      <c r="J25" s="1134"/>
      <c r="K25" s="1134"/>
      <c r="L25" s="1134"/>
      <c r="M25" s="1134"/>
      <c r="N25" s="1134"/>
      <c r="O25" s="1134"/>
      <c r="P25" s="1134"/>
      <c r="Q25" s="1134"/>
      <c r="R25" s="1134"/>
      <c r="S25" s="1134"/>
      <c r="T25" s="1134"/>
      <c r="U25" s="1134"/>
      <c r="V25" s="1134"/>
      <c r="W25" s="1134"/>
      <c r="X25" s="1134"/>
      <c r="Y25" s="1134"/>
      <c r="Z25" s="1134"/>
      <c r="AA25" s="1134"/>
      <c r="AB25" s="1134"/>
      <c r="AC25" s="1134"/>
      <c r="AD25" s="1134"/>
      <c r="AE25" s="1134"/>
      <c r="AF25" s="1134"/>
      <c r="AG25" s="1134"/>
      <c r="AH25" s="1134"/>
      <c r="AI25" s="1134"/>
      <c r="AJ25" s="1134"/>
      <c r="AK25" s="1134"/>
      <c r="AL25" s="1134"/>
      <c r="AM25" s="1134"/>
      <c r="AN25" s="1134"/>
      <c r="AO25" s="1134"/>
      <c r="AP25" s="1134"/>
      <c r="AQ25" s="1134"/>
      <c r="AR25" s="1134"/>
      <c r="AS25" s="1134"/>
      <c r="AT25" s="1134"/>
      <c r="AU25" s="1134"/>
      <c r="AV25" s="1134"/>
      <c r="AW25" s="1134"/>
      <c r="AX25" s="1134"/>
      <c r="AY25" s="1134"/>
      <c r="AZ25" s="1134"/>
      <c r="BA25" s="1134"/>
      <c r="BB25" s="1134"/>
      <c r="BC25" s="1134"/>
      <c r="BD25" s="1134"/>
      <c r="BE25" s="1134"/>
      <c r="BF25" s="1134"/>
      <c r="BG25" s="1134"/>
      <c r="BH25" s="1134"/>
      <c r="BI25" s="1134"/>
      <c r="BJ25" s="1134"/>
      <c r="BK25" s="1134"/>
      <c r="BL25" s="1134"/>
      <c r="BM25" s="1134"/>
      <c r="BN25" s="1134"/>
      <c r="BO25" s="1134"/>
      <c r="BP25" s="1134"/>
      <c r="BQ25" s="1134"/>
      <c r="BR25" s="1134"/>
    </row>
    <row r="26" spans="1:70" ht="12.75" customHeight="1" x14ac:dyDescent="0.3">
      <c r="A26" s="1218" t="s">
        <v>1008</v>
      </c>
      <c r="B26" s="1218"/>
      <c r="C26" s="1218"/>
      <c r="D26" s="1218"/>
      <c r="E26" s="1218"/>
      <c r="F26" s="1218"/>
      <c r="G26" s="1218"/>
      <c r="H26" s="1218"/>
      <c r="I26" s="1218"/>
      <c r="J26" s="1218"/>
      <c r="K26" s="1218"/>
      <c r="L26" s="1218"/>
      <c r="M26" s="1218"/>
      <c r="N26" s="1218"/>
      <c r="O26" s="1218"/>
      <c r="P26" s="1218"/>
      <c r="Q26" s="1218"/>
      <c r="R26" s="1218"/>
      <c r="S26" s="1218"/>
      <c r="T26" s="1218"/>
      <c r="U26" s="1218"/>
      <c r="V26" s="1218"/>
      <c r="W26" s="1218"/>
      <c r="X26" s="1218"/>
      <c r="Y26" s="1218"/>
      <c r="Z26" s="1218"/>
      <c r="AA26" s="1218"/>
      <c r="AB26" s="1218"/>
      <c r="AC26" s="1218"/>
      <c r="AD26" s="1218"/>
      <c r="AE26" s="1218"/>
      <c r="AF26" s="1218"/>
      <c r="AG26" s="1218"/>
      <c r="AH26" s="1218"/>
      <c r="AI26" s="1218"/>
      <c r="AJ26" s="1218"/>
      <c r="AK26" s="1218"/>
      <c r="AL26" s="1218"/>
      <c r="AM26" s="1218"/>
      <c r="AN26" s="1218"/>
      <c r="AO26" s="1218"/>
      <c r="AP26" s="1218"/>
      <c r="AQ26" s="1218"/>
      <c r="AR26" s="1218"/>
      <c r="AS26" s="1218"/>
      <c r="AT26" s="1218"/>
      <c r="AU26" s="1218"/>
      <c r="AV26" s="1218"/>
      <c r="AW26" s="1218"/>
      <c r="AX26" s="1218"/>
      <c r="AY26" s="1218"/>
      <c r="AZ26" s="1218"/>
      <c r="BA26" s="1218"/>
      <c r="BB26" s="1218"/>
      <c r="BC26" s="1218"/>
      <c r="BD26" s="1218"/>
      <c r="BE26" s="1218"/>
      <c r="BF26" s="1218"/>
      <c r="BG26" s="1218"/>
      <c r="BH26" s="1218"/>
      <c r="BI26" s="1218"/>
      <c r="BJ26" s="1218"/>
      <c r="BK26" s="1218"/>
      <c r="BL26" s="1218"/>
      <c r="BM26" s="1218"/>
      <c r="BN26" s="1218"/>
      <c r="BO26" s="1218"/>
      <c r="BP26" s="1218"/>
      <c r="BQ26" s="1218"/>
      <c r="BR26" s="1218"/>
    </row>
    <row r="27" spans="1:70" ht="12.75" customHeight="1" x14ac:dyDescent="0.3">
      <c r="A27" s="1218" t="s">
        <v>527</v>
      </c>
      <c r="B27" s="1218"/>
      <c r="C27" s="1218"/>
      <c r="D27" s="1218"/>
      <c r="E27" s="1218"/>
      <c r="F27" s="1218"/>
      <c r="G27" s="1218"/>
      <c r="H27" s="1218"/>
      <c r="I27" s="1218"/>
      <c r="J27" s="1218"/>
      <c r="K27" s="1218"/>
      <c r="L27" s="1218"/>
      <c r="M27" s="1218"/>
      <c r="N27" s="1218"/>
      <c r="O27" s="1218"/>
      <c r="P27" s="1218"/>
      <c r="Q27" s="1218"/>
      <c r="R27" s="1218"/>
      <c r="S27" s="1218"/>
      <c r="T27" s="1218"/>
      <c r="U27" s="1218"/>
      <c r="V27" s="1218"/>
      <c r="W27" s="1218"/>
      <c r="X27" s="1218"/>
      <c r="Y27" s="1218"/>
      <c r="Z27" s="1218"/>
      <c r="AA27" s="1218"/>
      <c r="AB27" s="1218"/>
      <c r="AC27" s="1218"/>
      <c r="AD27" s="1218"/>
      <c r="AE27" s="1218"/>
      <c r="AF27" s="1218"/>
      <c r="AG27" s="1218"/>
      <c r="AH27" s="1218"/>
      <c r="AI27" s="1218"/>
      <c r="AJ27" s="1218"/>
      <c r="AK27" s="1218"/>
      <c r="AL27" s="1218"/>
      <c r="AM27" s="1218"/>
      <c r="AN27" s="1218"/>
      <c r="AO27" s="1218"/>
      <c r="AP27" s="1218"/>
      <c r="AQ27" s="1218"/>
      <c r="AR27" s="1218"/>
      <c r="AS27" s="1218"/>
      <c r="AT27" s="1218"/>
      <c r="AU27" s="1218"/>
      <c r="AV27" s="1218"/>
      <c r="AW27" s="1218"/>
      <c r="AX27" s="1218"/>
      <c r="AY27" s="1218"/>
      <c r="AZ27" s="1218"/>
      <c r="BA27" s="1218"/>
      <c r="BB27" s="1218"/>
      <c r="BC27" s="1218"/>
      <c r="BD27" s="1218"/>
      <c r="BE27" s="1218"/>
      <c r="BF27" s="1218"/>
      <c r="BG27" s="1218"/>
      <c r="BH27" s="1218"/>
      <c r="BI27" s="1218"/>
      <c r="BJ27" s="1218"/>
      <c r="BK27" s="1218"/>
      <c r="BL27" s="1218"/>
      <c r="BM27" s="1218"/>
      <c r="BN27" s="1218"/>
      <c r="BO27" s="1218"/>
      <c r="BP27" s="1218"/>
      <c r="BQ27" s="1218"/>
      <c r="BR27" s="1218"/>
    </row>
    <row r="28" spans="1:70" x14ac:dyDescent="0.3">
      <c r="E28" s="540"/>
      <c r="M28" s="540"/>
      <c r="N28" s="540"/>
      <c r="O28" s="540"/>
      <c r="P28" s="540"/>
      <c r="Q28" s="540"/>
      <c r="R28" s="540"/>
      <c r="S28" s="540"/>
      <c r="AC28" s="540"/>
      <c r="AD28" s="540"/>
      <c r="AE28" s="540"/>
      <c r="AF28" s="540"/>
      <c r="AG28" s="540"/>
      <c r="AH28" s="540"/>
    </row>
    <row r="29" spans="1:70" x14ac:dyDescent="0.3">
      <c r="M29" s="540"/>
      <c r="N29" s="540"/>
      <c r="O29" s="540"/>
      <c r="P29" s="540"/>
      <c r="Q29" s="540"/>
      <c r="R29" s="540"/>
      <c r="S29" s="540"/>
    </row>
    <row r="30" spans="1:70" x14ac:dyDescent="0.3">
      <c r="M30" s="540"/>
      <c r="N30" s="540"/>
      <c r="O30" s="540"/>
      <c r="P30" s="540"/>
      <c r="Q30" s="540"/>
      <c r="R30" s="540"/>
      <c r="S30" s="540"/>
    </row>
    <row r="31" spans="1:70" x14ac:dyDescent="0.3">
      <c r="M31" s="540"/>
      <c r="N31" s="540"/>
      <c r="O31" s="540"/>
      <c r="P31" s="540"/>
      <c r="Q31" s="540"/>
      <c r="R31" s="540"/>
      <c r="S31" s="540"/>
      <c r="T31" s="540"/>
      <c r="U31" s="540"/>
      <c r="V31" s="540"/>
      <c r="W31" s="540"/>
      <c r="X31" s="540"/>
    </row>
  </sheetData>
  <mergeCells count="6">
    <mergeCell ref="A27:BR27"/>
    <mergeCell ref="A1:BR1"/>
    <mergeCell ref="A22:BR22"/>
    <mergeCell ref="A23:BR23"/>
    <mergeCell ref="A24:BR24"/>
    <mergeCell ref="A26:BR26"/>
  </mergeCells>
  <pageMargins left="0.62992125984251968" right="0.23622047244094491" top="0.31496062992125984" bottom="0.74803149606299213" header="0.31496062992125984" footer="0.31496062992125984"/>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G31"/>
  <sheetViews>
    <sheetView zoomScaleNormal="100" workbookViewId="0">
      <pane xSplit="117" ySplit="4" topLeftCell="JV5" activePane="bottomRight" state="frozen"/>
      <selection pane="topRight" activeCell="DN1" sqref="DN1"/>
      <selection pane="bottomLeft" activeCell="A5" sqref="A5"/>
      <selection pane="bottomRight" activeCell="KB15" sqref="KB15"/>
    </sheetView>
  </sheetViews>
  <sheetFormatPr defaultColWidth="9.08984375" defaultRowHeight="14" x14ac:dyDescent="0.3"/>
  <cols>
    <col min="1" max="1" width="32.36328125" style="104" customWidth="1"/>
    <col min="2" max="2" width="7.90625" style="104" hidden="1" customWidth="1"/>
    <col min="3" max="3" width="8.453125" style="104" hidden="1" customWidth="1"/>
    <col min="4" max="4" width="6.90625" style="104" hidden="1" customWidth="1"/>
    <col min="5" max="5" width="8" style="104" hidden="1" customWidth="1"/>
    <col min="6" max="6" width="7.90625" style="104" hidden="1" customWidth="1"/>
    <col min="7" max="7" width="8.6328125" style="104" hidden="1" customWidth="1"/>
    <col min="8" max="8" width="7.453125" style="104" hidden="1" customWidth="1"/>
    <col min="9" max="9" width="8.453125" style="104" hidden="1" customWidth="1"/>
    <col min="10" max="10" width="8.36328125" style="104" hidden="1" customWidth="1"/>
    <col min="11" max="11" width="8.453125" style="104" hidden="1" customWidth="1"/>
    <col min="12" max="12" width="6.6328125" style="104" hidden="1" customWidth="1"/>
    <col min="13" max="13" width="8.90625" style="104" hidden="1" customWidth="1"/>
    <col min="14" max="14" width="8.453125" style="104" hidden="1" customWidth="1"/>
    <col min="15" max="15" width="8.90625" style="104" hidden="1" customWidth="1"/>
    <col min="16" max="16" width="7.6328125" style="104" hidden="1" customWidth="1"/>
    <col min="17" max="17" width="9" style="104" hidden="1" customWidth="1"/>
    <col min="18" max="18" width="7.6328125" style="104" hidden="1" customWidth="1"/>
    <col min="19" max="19" width="8.6328125" style="104" hidden="1" customWidth="1"/>
    <col min="20" max="20" width="6.90625" style="104" hidden="1" customWidth="1"/>
    <col min="21" max="21" width="8" style="104" hidden="1" customWidth="1"/>
    <col min="22" max="22" width="7.90625" style="104" hidden="1" customWidth="1"/>
    <col min="23" max="23" width="8.453125" style="104" hidden="1" customWidth="1"/>
    <col min="24" max="24" width="7.36328125" style="104" hidden="1" customWidth="1"/>
    <col min="25" max="25" width="7.6328125" style="104" hidden="1" customWidth="1"/>
    <col min="26" max="26" width="7.453125" style="104" hidden="1" customWidth="1"/>
    <col min="27" max="27" width="8.6328125" style="104" hidden="1" customWidth="1"/>
    <col min="28" max="28" width="7.36328125" style="104" hidden="1" customWidth="1"/>
    <col min="29" max="29" width="8.453125" style="104" hidden="1" customWidth="1"/>
    <col min="30" max="30" width="8" style="104" hidden="1" customWidth="1"/>
    <col min="31" max="31" width="9.08984375" style="104" hidden="1" customWidth="1"/>
    <col min="32" max="32" width="7" style="104" hidden="1" customWidth="1"/>
    <col min="33" max="33" width="8.453125" style="104" hidden="1" customWidth="1"/>
    <col min="34" max="34" width="8.36328125" style="104" hidden="1" customWidth="1"/>
    <col min="35" max="35" width="8.90625" style="104" hidden="1" customWidth="1"/>
    <col min="36" max="36" width="7.453125" style="104" hidden="1" customWidth="1"/>
    <col min="37" max="37" width="8.90625" style="104" hidden="1" customWidth="1"/>
    <col min="38" max="38" width="7.453125" style="104" hidden="1" customWidth="1"/>
    <col min="39" max="40" width="8.453125" style="104" hidden="1" customWidth="1"/>
    <col min="41" max="41" width="7.6328125" style="104" hidden="1" customWidth="1"/>
    <col min="42" max="42" width="8.36328125" style="104" hidden="1" customWidth="1"/>
    <col min="43" max="43" width="9.08984375" style="104" hidden="1" customWidth="1"/>
    <col min="44" max="44" width="8.453125" style="104" hidden="1" customWidth="1"/>
    <col min="45" max="46" width="7.90625" style="104" hidden="1" customWidth="1"/>
    <col min="47" max="47" width="9.453125" style="104" hidden="1" customWidth="1"/>
    <col min="48" max="48" width="7.453125" style="104" hidden="1" customWidth="1"/>
    <col min="49" max="49" width="9.08984375" style="104" hidden="1" customWidth="1"/>
    <col min="50" max="51" width="8.453125" style="104" hidden="1" customWidth="1"/>
    <col min="52" max="52" width="8.08984375" style="104" hidden="1" customWidth="1"/>
    <col min="53" max="53" width="8.453125" style="104" hidden="1" customWidth="1"/>
    <col min="54" max="54" width="8.08984375" style="104" hidden="1" customWidth="1"/>
    <col min="55" max="55" width="9" style="104" hidden="1" customWidth="1"/>
    <col min="56" max="56" width="7.453125" style="104" hidden="1" customWidth="1"/>
    <col min="57" max="57" width="8.453125" style="104" hidden="1" customWidth="1"/>
    <col min="58" max="58" width="8.08984375" style="104" hidden="1" customWidth="1"/>
    <col min="59" max="59" width="9.08984375" style="104" hidden="1" customWidth="1"/>
    <col min="60" max="61" width="8.36328125" style="104" hidden="1" customWidth="1"/>
    <col min="62" max="62" width="7.6328125" style="104" hidden="1" customWidth="1"/>
    <col min="63" max="63" width="9.453125" style="104" hidden="1" customWidth="1"/>
    <col min="64" max="64" width="8" style="104" hidden="1" customWidth="1"/>
    <col min="65" max="66" width="8.08984375" style="104" hidden="1" customWidth="1"/>
    <col min="67" max="67" width="8.6328125" style="104" hidden="1" customWidth="1"/>
    <col min="68" max="68" width="7.453125" style="104" hidden="1" customWidth="1"/>
    <col min="69" max="69" width="7.90625" style="104" hidden="1" customWidth="1"/>
    <col min="70" max="70" width="7.6328125" style="104" hidden="1" customWidth="1"/>
    <col min="71" max="71" width="9.08984375" style="104" hidden="1" customWidth="1"/>
    <col min="72" max="72" width="7.90625" style="104" hidden="1" customWidth="1"/>
    <col min="73" max="74" width="8.453125" style="104" hidden="1" customWidth="1"/>
    <col min="75" max="75" width="9.08984375" style="104" hidden="1" customWidth="1"/>
    <col min="76" max="77" width="8.453125" style="104" hidden="1" customWidth="1"/>
    <col min="78" max="78" width="7.90625" style="104" hidden="1" customWidth="1"/>
    <col min="79" max="79" width="9.08984375" style="104" hidden="1" customWidth="1"/>
    <col min="80" max="81" width="8.08984375" style="104" hidden="1" customWidth="1"/>
    <col min="82" max="82" width="8.36328125" style="104" hidden="1" customWidth="1"/>
    <col min="83" max="83" width="8.6328125" style="104" hidden="1" customWidth="1"/>
    <col min="84" max="84" width="8.36328125" style="104" hidden="1" customWidth="1"/>
    <col min="85" max="85" width="8.08984375" style="104" hidden="1" customWidth="1"/>
    <col min="86" max="87" width="8.453125" style="104" hidden="1" customWidth="1"/>
    <col min="88" max="88" width="6.90625" style="104" hidden="1" customWidth="1"/>
    <col min="89" max="90" width="8.453125" style="104" hidden="1" customWidth="1"/>
    <col min="91" max="91" width="8.36328125" style="104" hidden="1" customWidth="1"/>
    <col min="92" max="92" width="7.453125" style="104" hidden="1" customWidth="1"/>
    <col min="93" max="94" width="8" style="104" hidden="1" customWidth="1"/>
    <col min="95" max="95" width="7.90625" style="104" hidden="1" customWidth="1"/>
    <col min="96" max="96" width="7.08984375" style="104" hidden="1" customWidth="1"/>
    <col min="97" max="97" width="7.90625" style="104" hidden="1" customWidth="1"/>
    <col min="98" max="98" width="7.08984375" style="104" hidden="1" customWidth="1"/>
    <col min="99" max="99" width="8.08984375" style="104" hidden="1" customWidth="1"/>
    <col min="100" max="100" width="7" style="104" hidden="1" customWidth="1"/>
    <col min="101" max="101" width="7.08984375" style="104" hidden="1" customWidth="1"/>
    <col min="102" max="102" width="7.453125" style="104" hidden="1" customWidth="1"/>
    <col min="103" max="103" width="8.08984375" style="104" hidden="1" customWidth="1"/>
    <col min="104" max="104" width="7" style="104" hidden="1" customWidth="1"/>
    <col min="105" max="105" width="7.36328125" style="104" hidden="1" customWidth="1"/>
    <col min="106" max="106" width="7" style="104" hidden="1" customWidth="1"/>
    <col min="107" max="107" width="8.08984375" style="104" hidden="1" customWidth="1"/>
    <col min="108" max="108" width="7" style="104" hidden="1" customWidth="1"/>
    <col min="109" max="109" width="7.08984375" style="104" hidden="1" customWidth="1"/>
    <col min="110" max="110" width="7.36328125" style="104" hidden="1" customWidth="1"/>
    <col min="111" max="111" width="8.453125" style="104" hidden="1" customWidth="1"/>
    <col min="112" max="112" width="6.453125" style="104" hidden="1" customWidth="1"/>
    <col min="113" max="113" width="7" style="104" hidden="1" customWidth="1"/>
    <col min="114" max="114" width="7.36328125" style="104" hidden="1" customWidth="1"/>
    <col min="115" max="115" width="8.453125" style="104" hidden="1" customWidth="1"/>
    <col min="116" max="116" width="6.453125" style="104" hidden="1" customWidth="1"/>
    <col min="117" max="117" width="7.36328125" style="104" hidden="1" customWidth="1"/>
    <col min="118" max="118" width="6.90625" style="104" hidden="1" customWidth="1"/>
    <col min="119" max="119" width="8" style="104" hidden="1" customWidth="1"/>
    <col min="120" max="121" width="6.453125" style="104" hidden="1" customWidth="1"/>
    <col min="122" max="122" width="6.90625" style="104" hidden="1" customWidth="1"/>
    <col min="123" max="123" width="8" style="104" hidden="1" customWidth="1"/>
    <col min="124" max="124" width="6.453125" style="104" hidden="1" customWidth="1"/>
    <col min="125" max="125" width="7" style="104" hidden="1" customWidth="1"/>
    <col min="126" max="126" width="8.08984375" style="104" hidden="1" customWidth="1"/>
    <col min="127" max="127" width="8.36328125" style="104" hidden="1" customWidth="1"/>
    <col min="128" max="128" width="6.453125" style="104" hidden="1" customWidth="1"/>
    <col min="129" max="129" width="6.90625" style="104" hidden="1" customWidth="1"/>
    <col min="130" max="130" width="7.6328125" style="104" hidden="1" customWidth="1"/>
    <col min="131" max="131" width="8.36328125" style="104" hidden="1" customWidth="1"/>
    <col min="132" max="132" width="6.90625" style="104" hidden="1" customWidth="1"/>
    <col min="133" max="133" width="7" style="104" hidden="1" customWidth="1"/>
    <col min="134" max="134" width="7.6328125" style="104" hidden="1" customWidth="1"/>
    <col min="135" max="135" width="8.36328125" style="104" hidden="1" customWidth="1"/>
    <col min="136" max="136" width="6.90625" style="104" hidden="1" customWidth="1"/>
    <col min="137" max="137" width="7.453125" style="104" hidden="1" customWidth="1"/>
    <col min="138" max="139" width="7.6328125" style="104" hidden="1" customWidth="1"/>
    <col min="140" max="140" width="6.6328125" style="104" hidden="1" customWidth="1"/>
    <col min="141" max="141" width="7" style="104" hidden="1" customWidth="1"/>
    <col min="142" max="142" width="7.90625" style="104" hidden="1" customWidth="1"/>
    <col min="143" max="143" width="8.36328125" style="104" hidden="1" customWidth="1"/>
    <col min="144" max="144" width="6.6328125" style="104" hidden="1" customWidth="1"/>
    <col min="145" max="145" width="7.453125" style="104" hidden="1" customWidth="1"/>
    <col min="146" max="146" width="7.90625" style="104" hidden="1" customWidth="1"/>
    <col min="147" max="147" width="8.90625" style="104" hidden="1" customWidth="1"/>
    <col min="148" max="148" width="7.08984375" style="104" hidden="1" customWidth="1"/>
    <col min="149" max="149" width="8" style="104" hidden="1" customWidth="1"/>
    <col min="150" max="150" width="7.453125" style="104" hidden="1" customWidth="1"/>
    <col min="151" max="151" width="8.453125" style="104" hidden="1" customWidth="1"/>
    <col min="152" max="152" width="6.453125" style="104" hidden="1" customWidth="1"/>
    <col min="153" max="153" width="7.6328125" style="104" hidden="1" customWidth="1"/>
    <col min="154" max="154" width="7.453125" style="104" hidden="1" customWidth="1"/>
    <col min="155" max="155" width="9.08984375" style="104" hidden="1" customWidth="1"/>
    <col min="156" max="156" width="7.08984375" style="104" hidden="1" customWidth="1"/>
    <col min="157" max="157" width="8" style="104" hidden="1" customWidth="1"/>
    <col min="158" max="159" width="8.453125" style="104" hidden="1" customWidth="1"/>
    <col min="160" max="160" width="6.453125" style="104" hidden="1" customWidth="1"/>
    <col min="161" max="162" width="8.453125" style="104" hidden="1" customWidth="1"/>
    <col min="163" max="163" width="9.08984375" style="104" hidden="1" customWidth="1"/>
    <col min="164" max="164" width="7.08984375" style="104" hidden="1" customWidth="1"/>
    <col min="165" max="166" width="8.453125" style="104" hidden="1" customWidth="1"/>
    <col min="167" max="167" width="9.08984375" style="104" hidden="1" customWidth="1"/>
    <col min="168" max="168" width="6.90625" style="104" hidden="1" customWidth="1"/>
    <col min="169" max="169" width="8" style="104" hidden="1" customWidth="1"/>
    <col min="170" max="170" width="7.6328125" style="104" hidden="1" customWidth="1"/>
    <col min="171" max="171" width="9.08984375" style="104" hidden="1" customWidth="1"/>
    <col min="172" max="172" width="6.453125" style="104" hidden="1" customWidth="1"/>
    <col min="173" max="173" width="8.36328125" style="104" hidden="1" customWidth="1"/>
    <col min="174" max="174" width="7.453125" style="104" hidden="1" customWidth="1"/>
    <col min="175" max="175" width="9.08984375" style="104" hidden="1" customWidth="1"/>
    <col min="176" max="176" width="6.90625" style="104" hidden="1" customWidth="1"/>
    <col min="177" max="177" width="8.36328125" style="104" hidden="1" customWidth="1"/>
    <col min="178" max="178" width="8" style="104" hidden="1" customWidth="1"/>
    <col min="179" max="179" width="9.08984375" style="104" hidden="1" customWidth="1"/>
    <col min="180" max="180" width="7.08984375" style="104" hidden="1" customWidth="1"/>
    <col min="181" max="181" width="8.453125" style="104" hidden="1" customWidth="1"/>
    <col min="182" max="182" width="8.36328125" style="104" hidden="1" customWidth="1"/>
    <col min="183" max="183" width="9.08984375" style="104" hidden="1" customWidth="1"/>
    <col min="184" max="184" width="6.90625" style="104" hidden="1" customWidth="1"/>
    <col min="185" max="186" width="8.36328125" style="104" hidden="1" customWidth="1"/>
    <col min="187" max="187" width="9.08984375" style="104" hidden="1" customWidth="1"/>
    <col min="188" max="188" width="7.453125" style="104" hidden="1" customWidth="1"/>
    <col min="189" max="189" width="8.453125" style="104" hidden="1" customWidth="1"/>
    <col min="190" max="190" width="8.36328125" style="104" hidden="1" customWidth="1"/>
    <col min="191" max="191" width="9.08984375" style="104" hidden="1" customWidth="1"/>
    <col min="192" max="192" width="7.453125" style="104" hidden="1" customWidth="1"/>
    <col min="193" max="193" width="8.90625" style="104" hidden="1" customWidth="1"/>
    <col min="194" max="194" width="8.453125" style="104" hidden="1" customWidth="1"/>
    <col min="195" max="195" width="9.08984375" style="104" hidden="1" customWidth="1"/>
    <col min="196" max="196" width="7.08984375" style="104" hidden="1" customWidth="1"/>
    <col min="197" max="197" width="8.08984375" style="104" hidden="1" customWidth="1"/>
    <col min="198" max="198" width="8.453125" style="104" hidden="1" customWidth="1"/>
    <col min="199" max="199" width="9.08984375" style="104" hidden="1" customWidth="1"/>
    <col min="200" max="200" width="8" style="104" hidden="1" customWidth="1"/>
    <col min="201" max="201" width="8.6328125" style="104" hidden="1" customWidth="1"/>
    <col min="202" max="202" width="8.90625" style="104" hidden="1" customWidth="1"/>
    <col min="203" max="203" width="9.08984375" style="104" hidden="1" customWidth="1"/>
    <col min="204" max="204" width="8" style="104" hidden="1" customWidth="1"/>
    <col min="205" max="206" width="8.453125" style="104" hidden="1" customWidth="1"/>
    <col min="207" max="207" width="9.08984375" style="104" hidden="1" customWidth="1"/>
    <col min="208" max="208" width="8.453125" style="104" hidden="1" customWidth="1"/>
    <col min="209" max="209" width="8.90625" style="104" hidden="1" customWidth="1"/>
    <col min="210" max="210" width="9" style="104" hidden="1" customWidth="1"/>
    <col min="211" max="211" width="9.08984375" style="104" hidden="1" customWidth="1"/>
    <col min="212" max="212" width="8.36328125" style="104" hidden="1" customWidth="1"/>
    <col min="213" max="214" width="8.453125" style="104" hidden="1" customWidth="1"/>
    <col min="215" max="215" width="9.08984375" style="104" hidden="1" customWidth="1"/>
    <col min="216" max="216" width="8.453125" style="104" hidden="1" customWidth="1"/>
    <col min="217" max="217" width="8.90625" style="104" hidden="1" customWidth="1"/>
    <col min="218" max="218" width="8.453125" style="104" hidden="1" customWidth="1"/>
    <col min="219" max="219" width="9.08984375" style="104" hidden="1" customWidth="1"/>
    <col min="220" max="220" width="8.08984375" style="104" hidden="1" customWidth="1"/>
    <col min="221" max="221" width="8.36328125" style="104" hidden="1" customWidth="1"/>
    <col min="222" max="222" width="8.90625" style="104" hidden="1" customWidth="1"/>
    <col min="223" max="223" width="9.08984375" style="104" hidden="1" customWidth="1"/>
    <col min="224" max="225" width="8.453125" style="104" hidden="1" customWidth="1"/>
    <col min="226" max="226" width="8.90625" style="104" hidden="1" customWidth="1"/>
    <col min="227" max="227" width="9.08984375" style="104" hidden="1" customWidth="1"/>
    <col min="228" max="228" width="8" style="104" hidden="1" customWidth="1"/>
    <col min="229" max="230" width="8.90625" style="104" hidden="1" customWidth="1"/>
    <col min="231" max="231" width="9.08984375" style="104" hidden="1" customWidth="1"/>
    <col min="232" max="232" width="8.453125" style="104" hidden="1" customWidth="1"/>
    <col min="233" max="233" width="8.6328125" style="104" hidden="1" customWidth="1"/>
    <col min="234" max="234" width="8.90625" style="104" hidden="1" customWidth="1"/>
    <col min="235" max="235" width="9.08984375" style="104" hidden="1" customWidth="1"/>
    <col min="236" max="237" width="8.453125" style="104" hidden="1" customWidth="1"/>
    <col min="238" max="239" width="9.08984375" style="104" hidden="1" customWidth="1"/>
    <col min="240" max="240" width="8.36328125" style="104" hidden="1" customWidth="1"/>
    <col min="241" max="241" width="9" style="104" hidden="1" customWidth="1"/>
    <col min="242" max="242" width="8.90625" style="104" hidden="1" customWidth="1"/>
    <col min="243" max="243" width="9.08984375" style="104" hidden="1" customWidth="1"/>
    <col min="244" max="244" width="8" style="104" hidden="1" customWidth="1"/>
    <col min="245" max="245" width="8.90625" style="104" hidden="1" customWidth="1"/>
    <col min="246" max="246" width="8.453125" style="104" hidden="1" customWidth="1"/>
    <col min="247" max="247" width="9.08984375" style="104" hidden="1" customWidth="1"/>
    <col min="248" max="248" width="8.08984375" style="104" hidden="1" customWidth="1"/>
    <col min="249" max="249" width="8.6328125" style="104" hidden="1" customWidth="1"/>
    <col min="250" max="253" width="9.08984375" style="104" hidden="1" customWidth="1"/>
    <col min="254" max="254" width="8.6328125" style="104" hidden="1" customWidth="1"/>
    <col min="255" max="255" width="9.08984375" style="104" hidden="1" customWidth="1"/>
    <col min="256" max="256" width="8.36328125" style="104" hidden="1" customWidth="1"/>
    <col min="257" max="257" width="9" style="104" hidden="1" customWidth="1"/>
    <col min="258" max="258" width="8.90625" style="104" hidden="1" customWidth="1"/>
    <col min="259" max="259" width="9.08984375" style="104" hidden="1" customWidth="1"/>
    <col min="260" max="261" width="8.90625" style="104" hidden="1" customWidth="1"/>
    <col min="262" max="262" width="8.6328125" style="104" hidden="1" customWidth="1"/>
    <col min="263" max="263" width="9.08984375" style="104" hidden="1" customWidth="1"/>
    <col min="264" max="264" width="8.36328125" style="104" hidden="1" customWidth="1"/>
    <col min="265" max="265" width="2.6328125" style="104" hidden="1" customWidth="1"/>
    <col min="266" max="267" width="9.08984375" style="104" hidden="1" customWidth="1"/>
    <col min="268" max="268" width="8.453125" style="104" hidden="1" customWidth="1"/>
    <col min="269" max="281" width="9.08984375" style="104" hidden="1" customWidth="1"/>
    <col min="282" max="16384" width="9.08984375" style="104"/>
  </cols>
  <sheetData>
    <row r="1" spans="1:293" ht="22.65" customHeight="1" x14ac:dyDescent="0.35">
      <c r="A1" s="1329" t="s">
        <v>606</v>
      </c>
      <c r="B1" s="1329"/>
      <c r="C1" s="1329"/>
      <c r="D1" s="1329"/>
      <c r="E1" s="1329"/>
      <c r="F1" s="1329"/>
      <c r="G1" s="1329"/>
      <c r="H1" s="1329"/>
      <c r="I1" s="1329"/>
      <c r="J1" s="1329"/>
      <c r="K1" s="1329"/>
      <c r="L1" s="1329"/>
      <c r="M1" s="1329"/>
      <c r="N1" s="1329"/>
      <c r="O1" s="1329"/>
      <c r="P1" s="1329"/>
      <c r="Q1" s="1329"/>
      <c r="R1" s="1329"/>
      <c r="S1" s="1329"/>
      <c r="T1" s="1329"/>
      <c r="U1" s="1329"/>
      <c r="V1" s="1329"/>
      <c r="W1" s="1329"/>
      <c r="X1" s="1329"/>
      <c r="Y1" s="1329"/>
      <c r="Z1" s="1329"/>
      <c r="AA1" s="1329"/>
      <c r="AB1" s="1329"/>
      <c r="AC1" s="1329"/>
      <c r="AD1" s="1329"/>
      <c r="AE1" s="1329"/>
      <c r="AF1" s="1329"/>
      <c r="AG1" s="1329"/>
      <c r="AH1" s="1329"/>
      <c r="AI1" s="1329"/>
      <c r="AJ1" s="1329"/>
      <c r="AK1" s="1329"/>
      <c r="AL1" s="1329"/>
      <c r="AM1" s="1329"/>
      <c r="AN1" s="1329"/>
      <c r="AO1" s="1329"/>
      <c r="AP1" s="1329"/>
      <c r="AQ1" s="1329"/>
      <c r="AR1" s="1329"/>
      <c r="AS1" s="1329"/>
      <c r="AT1" s="1329"/>
      <c r="AU1" s="1329"/>
      <c r="AV1" s="1329"/>
      <c r="AW1" s="1329"/>
      <c r="AX1" s="1329"/>
      <c r="AY1" s="1329"/>
      <c r="AZ1" s="1329"/>
      <c r="BA1" s="1329"/>
      <c r="BB1" s="1329"/>
      <c r="BC1" s="1329"/>
      <c r="BD1" s="1329"/>
      <c r="BE1" s="1329"/>
      <c r="BF1" s="1329"/>
      <c r="BG1" s="1329"/>
      <c r="BH1" s="1329"/>
      <c r="BI1" s="1329"/>
      <c r="BJ1" s="1329"/>
      <c r="BK1" s="1329"/>
      <c r="BL1" s="1329"/>
      <c r="BM1" s="1329"/>
      <c r="BN1" s="1329"/>
      <c r="BO1" s="1329"/>
      <c r="BP1" s="1329"/>
      <c r="BQ1" s="1329"/>
      <c r="BR1" s="1329"/>
      <c r="BS1" s="1329"/>
      <c r="BT1" s="1329"/>
      <c r="BU1" s="1329"/>
      <c r="BV1" s="1329"/>
      <c r="BW1" s="1329"/>
      <c r="BX1" s="1329"/>
      <c r="BY1" s="1329"/>
      <c r="BZ1" s="1329"/>
      <c r="CA1" s="1329"/>
      <c r="CB1" s="1329"/>
      <c r="CC1" s="1329"/>
      <c r="CD1" s="1329"/>
      <c r="CE1" s="1329"/>
      <c r="CF1" s="1329"/>
      <c r="CG1" s="1329"/>
      <c r="CH1" s="1329"/>
      <c r="CI1" s="1329"/>
      <c r="CJ1" s="1329"/>
      <c r="CK1" s="1329"/>
      <c r="CL1" s="1329"/>
      <c r="CM1" s="1329"/>
      <c r="CN1" s="1329"/>
      <c r="CO1" s="1329"/>
      <c r="CP1" s="1329"/>
      <c r="CQ1" s="1329"/>
      <c r="CR1" s="1329"/>
      <c r="CS1" s="1329"/>
      <c r="CT1" s="1329"/>
      <c r="CU1" s="1329"/>
      <c r="CV1" s="1329"/>
      <c r="CW1" s="1329"/>
      <c r="CX1" s="1329"/>
      <c r="CY1" s="1329"/>
      <c r="CZ1" s="1329"/>
      <c r="DA1" s="1329"/>
      <c r="DB1" s="1329"/>
      <c r="DC1" s="1329"/>
      <c r="DD1" s="1329"/>
      <c r="DE1" s="1329"/>
      <c r="DF1" s="1329"/>
      <c r="DG1" s="1329"/>
      <c r="DH1" s="1329"/>
      <c r="DI1" s="1329"/>
      <c r="DJ1" s="1329"/>
      <c r="DK1" s="1329"/>
      <c r="DL1" s="1329"/>
      <c r="DM1" s="1329"/>
      <c r="DN1" s="1329"/>
      <c r="DO1" s="1329"/>
      <c r="DP1" s="1329"/>
      <c r="DQ1" s="1329"/>
      <c r="DR1" s="1329"/>
      <c r="DS1" s="1329"/>
      <c r="DT1" s="1329"/>
      <c r="DU1" s="1329"/>
      <c r="DV1" s="1329"/>
      <c r="DW1" s="1329"/>
      <c r="DX1" s="1329"/>
      <c r="DY1" s="1329"/>
      <c r="DZ1" s="1329"/>
      <c r="EA1" s="1329"/>
      <c r="EB1" s="1329"/>
      <c r="EC1" s="1329"/>
      <c r="ED1" s="1329"/>
      <c r="EE1" s="1329"/>
      <c r="EF1" s="1329"/>
      <c r="EG1" s="1329"/>
      <c r="EH1" s="1329"/>
      <c r="EI1" s="1329"/>
      <c r="EJ1" s="1329"/>
      <c r="EK1" s="1329"/>
      <c r="EL1" s="1329"/>
      <c r="EM1" s="1329"/>
      <c r="EN1" s="1329"/>
      <c r="EO1" s="1329"/>
      <c r="EP1" s="1329"/>
      <c r="EQ1" s="1329"/>
      <c r="ER1" s="1329"/>
      <c r="ES1" s="1329"/>
      <c r="ET1" s="1329"/>
      <c r="EU1" s="1329"/>
      <c r="EV1" s="1329"/>
      <c r="EW1" s="1329"/>
      <c r="EX1" s="1329"/>
      <c r="EY1" s="1329"/>
      <c r="EZ1" s="1329"/>
      <c r="FA1" s="1329"/>
      <c r="FB1" s="1329"/>
      <c r="FC1" s="1329"/>
      <c r="FD1" s="1329"/>
      <c r="FE1" s="1329"/>
      <c r="FF1" s="1329"/>
      <c r="FG1" s="1329"/>
      <c r="FH1" s="1329"/>
      <c r="FI1" s="1329"/>
      <c r="FJ1" s="1329"/>
      <c r="FK1" s="1329"/>
      <c r="FL1" s="1329"/>
      <c r="FM1" s="1329"/>
      <c r="FN1" s="1329"/>
      <c r="FO1" s="1329"/>
      <c r="FP1" s="1329"/>
      <c r="FQ1" s="1329"/>
      <c r="FR1" s="1329"/>
      <c r="FS1" s="1329"/>
      <c r="FT1" s="1329"/>
      <c r="FU1" s="1329"/>
      <c r="FV1" s="1329"/>
      <c r="FW1" s="1329"/>
      <c r="FX1" s="1329"/>
      <c r="FY1" s="1329"/>
      <c r="FZ1" s="1329"/>
      <c r="GA1" s="1329"/>
      <c r="GB1" s="1329"/>
      <c r="GC1" s="1329"/>
      <c r="GD1" s="1329"/>
      <c r="GE1" s="1329"/>
      <c r="GF1" s="1329"/>
      <c r="GG1" s="1329"/>
      <c r="GH1" s="1329"/>
      <c r="GI1" s="1329"/>
      <c r="GJ1" s="1329"/>
      <c r="GK1" s="1329"/>
      <c r="GL1" s="1329"/>
      <c r="GM1" s="1329"/>
      <c r="GN1" s="1329"/>
      <c r="GO1" s="1329"/>
      <c r="GP1" s="1329"/>
      <c r="GQ1" s="1329"/>
      <c r="GR1" s="1329"/>
      <c r="GS1" s="1329"/>
      <c r="GT1" s="1329"/>
      <c r="GU1" s="1329"/>
      <c r="GV1" s="1329"/>
      <c r="GW1" s="1329"/>
      <c r="GX1" s="1329"/>
      <c r="GY1" s="1329"/>
      <c r="GZ1" s="1329"/>
      <c r="HA1" s="1329"/>
      <c r="HB1" s="1329"/>
      <c r="HC1" s="1329"/>
      <c r="HD1" s="1329"/>
      <c r="HE1" s="1329"/>
      <c r="HF1" s="1329"/>
      <c r="HG1" s="1329"/>
      <c r="HH1" s="1329"/>
      <c r="HI1" s="1329"/>
      <c r="HJ1" s="1329"/>
      <c r="HK1" s="1329"/>
      <c r="HL1" s="1329"/>
      <c r="HM1" s="1329"/>
      <c r="HN1" s="1329"/>
      <c r="HO1" s="1329"/>
      <c r="HP1" s="1329"/>
      <c r="HQ1" s="1329"/>
      <c r="HR1" s="1329"/>
      <c r="HS1" s="1329"/>
      <c r="HT1" s="1329"/>
      <c r="HU1" s="1329"/>
      <c r="HV1" s="1329"/>
      <c r="HW1" s="1329"/>
      <c r="HX1" s="1329"/>
      <c r="HY1" s="1329"/>
      <c r="HZ1" s="1329"/>
      <c r="IA1" s="1329"/>
      <c r="IB1" s="1329"/>
      <c r="IC1" s="1329"/>
      <c r="ID1" s="1329"/>
      <c r="IE1" s="1329"/>
      <c r="IF1" s="1329"/>
      <c r="IG1" s="1329"/>
      <c r="IH1" s="1329"/>
      <c r="II1" s="1329"/>
      <c r="IJ1" s="1329"/>
      <c r="IK1" s="1329"/>
      <c r="IL1" s="1329"/>
      <c r="IM1" s="1329"/>
      <c r="IN1" s="1329"/>
      <c r="IO1" s="1329"/>
      <c r="IP1" s="1329"/>
      <c r="IQ1" s="1329"/>
      <c r="IR1" s="1329"/>
      <c r="IS1" s="1329"/>
      <c r="IT1" s="1329"/>
      <c r="IU1" s="1329"/>
      <c r="IV1" s="1329"/>
      <c r="IW1" s="1329"/>
      <c r="IX1" s="1329"/>
      <c r="IY1" s="1329"/>
      <c r="IZ1" s="1329"/>
      <c r="JA1" s="1329"/>
      <c r="JB1" s="1329"/>
      <c r="JC1" s="1329"/>
      <c r="JD1" s="1329"/>
      <c r="JE1" s="1329"/>
      <c r="JF1" s="1329"/>
      <c r="JG1" s="1329"/>
      <c r="JH1" s="1329"/>
      <c r="JI1" s="1329"/>
      <c r="JJ1" s="1329"/>
      <c r="JK1" s="1329"/>
      <c r="JL1" s="1329"/>
      <c r="JM1" s="1329"/>
      <c r="JN1" s="1329"/>
      <c r="JO1" s="1329"/>
      <c r="JP1" s="1329"/>
      <c r="JQ1" s="1329"/>
      <c r="JR1" s="1329"/>
      <c r="JS1" s="1329"/>
      <c r="JT1" s="1329"/>
      <c r="JU1" s="1329"/>
      <c r="JV1" s="1329"/>
      <c r="JW1" s="1329"/>
      <c r="JX1" s="1329"/>
      <c r="JY1" s="1329"/>
      <c r="JZ1" s="1329"/>
      <c r="KA1" s="1329"/>
      <c r="KB1" s="1329"/>
      <c r="KC1" s="1329"/>
      <c r="KD1" s="1329"/>
      <c r="KE1" s="1329"/>
      <c r="KF1" s="1329"/>
      <c r="KG1" s="1329"/>
    </row>
    <row r="2" spans="1:293" x14ac:dyDescent="0.3">
      <c r="A2" s="546" t="s">
        <v>437</v>
      </c>
      <c r="KC2" s="974"/>
      <c r="KG2" s="974" t="s">
        <v>144</v>
      </c>
    </row>
    <row r="3" spans="1:293" ht="15" customHeight="1" x14ac:dyDescent="0.3">
      <c r="A3" s="630"/>
      <c r="B3" s="1336">
        <v>39263</v>
      </c>
      <c r="C3" s="1337"/>
      <c r="D3" s="1337"/>
      <c r="E3" s="1338"/>
      <c r="F3" s="1336">
        <v>39629</v>
      </c>
      <c r="G3" s="1337"/>
      <c r="H3" s="1337"/>
      <c r="I3" s="1338"/>
      <c r="J3" s="1336">
        <v>39699</v>
      </c>
      <c r="K3" s="1337"/>
      <c r="L3" s="1337"/>
      <c r="M3" s="1338"/>
      <c r="N3" s="1336">
        <v>39813</v>
      </c>
      <c r="O3" s="1337"/>
      <c r="P3" s="1337"/>
      <c r="Q3" s="1338"/>
      <c r="R3" s="1336">
        <v>39903</v>
      </c>
      <c r="S3" s="1337"/>
      <c r="T3" s="1337"/>
      <c r="U3" s="1338"/>
      <c r="V3" s="1333" t="s">
        <v>605</v>
      </c>
      <c r="W3" s="1334"/>
      <c r="X3" s="1334"/>
      <c r="Y3" s="1335"/>
      <c r="Z3" s="1333" t="s">
        <v>604</v>
      </c>
      <c r="AA3" s="1334"/>
      <c r="AB3" s="1334"/>
      <c r="AC3" s="1335"/>
      <c r="AD3" s="1333" t="s">
        <v>603</v>
      </c>
      <c r="AE3" s="1334"/>
      <c r="AF3" s="1334"/>
      <c r="AG3" s="1335"/>
      <c r="AH3" s="1333" t="s">
        <v>602</v>
      </c>
      <c r="AI3" s="1334"/>
      <c r="AJ3" s="1334"/>
      <c r="AK3" s="1335"/>
      <c r="AL3" s="1333" t="s">
        <v>601</v>
      </c>
      <c r="AM3" s="1334"/>
      <c r="AN3" s="1334"/>
      <c r="AO3" s="1335"/>
      <c r="AP3" s="1333" t="s">
        <v>600</v>
      </c>
      <c r="AQ3" s="1334"/>
      <c r="AR3" s="1334"/>
      <c r="AS3" s="1335"/>
      <c r="AT3" s="1333" t="s">
        <v>599</v>
      </c>
      <c r="AU3" s="1334"/>
      <c r="AV3" s="1334"/>
      <c r="AW3" s="1335"/>
      <c r="AX3" s="1333" t="s">
        <v>598</v>
      </c>
      <c r="AY3" s="1334"/>
      <c r="AZ3" s="1334"/>
      <c r="BA3" s="1335"/>
      <c r="BB3" s="1333" t="s">
        <v>597</v>
      </c>
      <c r="BC3" s="1334"/>
      <c r="BD3" s="1334"/>
      <c r="BE3" s="1335"/>
      <c r="BF3" s="1333" t="s">
        <v>596</v>
      </c>
      <c r="BG3" s="1334"/>
      <c r="BH3" s="1334"/>
      <c r="BI3" s="1335"/>
      <c r="BJ3" s="1333" t="s">
        <v>595</v>
      </c>
      <c r="BK3" s="1334"/>
      <c r="BL3" s="1334"/>
      <c r="BM3" s="1335"/>
      <c r="BN3" s="1339" t="s">
        <v>594</v>
      </c>
      <c r="BO3" s="1337"/>
      <c r="BP3" s="1337"/>
      <c r="BQ3" s="1338"/>
      <c r="BR3" s="1336" t="s">
        <v>593</v>
      </c>
      <c r="BS3" s="1337"/>
      <c r="BT3" s="1337"/>
      <c r="BU3" s="1338"/>
      <c r="BV3" s="1336" t="s">
        <v>592</v>
      </c>
      <c r="BW3" s="1337"/>
      <c r="BX3" s="1337"/>
      <c r="BY3" s="1338"/>
      <c r="BZ3" s="1336" t="s">
        <v>591</v>
      </c>
      <c r="CA3" s="1337"/>
      <c r="CB3" s="1337"/>
      <c r="CC3" s="1338"/>
      <c r="CD3" s="1339" t="s">
        <v>590</v>
      </c>
      <c r="CE3" s="1337"/>
      <c r="CF3" s="1337"/>
      <c r="CG3" s="1338"/>
      <c r="CH3" s="1339" t="s">
        <v>589</v>
      </c>
      <c r="CI3" s="1337"/>
      <c r="CJ3" s="1337"/>
      <c r="CK3" s="1338"/>
      <c r="CL3" s="1339" t="s">
        <v>588</v>
      </c>
      <c r="CM3" s="1337"/>
      <c r="CN3" s="1337"/>
      <c r="CO3" s="1338"/>
      <c r="CP3" s="1330" t="s">
        <v>587</v>
      </c>
      <c r="CQ3" s="1331"/>
      <c r="CR3" s="1331"/>
      <c r="CS3" s="1332"/>
      <c r="CT3" s="1330" t="s">
        <v>586</v>
      </c>
      <c r="CU3" s="1331"/>
      <c r="CV3" s="1331"/>
      <c r="CW3" s="1332"/>
      <c r="CX3" s="1330" t="s">
        <v>585</v>
      </c>
      <c r="CY3" s="1331"/>
      <c r="CZ3" s="1331"/>
      <c r="DA3" s="1332"/>
      <c r="DB3" s="1330" t="s">
        <v>584</v>
      </c>
      <c r="DC3" s="1331"/>
      <c r="DD3" s="1331"/>
      <c r="DE3" s="1332"/>
      <c r="DF3" s="1330" t="s">
        <v>583</v>
      </c>
      <c r="DG3" s="1331"/>
      <c r="DH3" s="1331"/>
      <c r="DI3" s="1332"/>
      <c r="DJ3" s="1340" t="s">
        <v>582</v>
      </c>
      <c r="DK3" s="1331"/>
      <c r="DL3" s="1331"/>
      <c r="DM3" s="1332"/>
      <c r="DN3" s="1330" t="s">
        <v>581</v>
      </c>
      <c r="DO3" s="1331"/>
      <c r="DP3" s="1331"/>
      <c r="DQ3" s="1332"/>
      <c r="DR3" s="1330" t="s">
        <v>580</v>
      </c>
      <c r="DS3" s="1331"/>
      <c r="DT3" s="1331"/>
      <c r="DU3" s="1332"/>
      <c r="DV3" s="1330" t="s">
        <v>579</v>
      </c>
      <c r="DW3" s="1331"/>
      <c r="DX3" s="1331"/>
      <c r="DY3" s="1332"/>
      <c r="DZ3" s="1330" t="s">
        <v>578</v>
      </c>
      <c r="EA3" s="1331"/>
      <c r="EB3" s="1331"/>
      <c r="EC3" s="1332"/>
      <c r="ED3" s="1330" t="s">
        <v>577</v>
      </c>
      <c r="EE3" s="1331"/>
      <c r="EF3" s="1331"/>
      <c r="EG3" s="1332"/>
      <c r="EH3" s="1330" t="s">
        <v>576</v>
      </c>
      <c r="EI3" s="1331"/>
      <c r="EJ3" s="1331"/>
      <c r="EK3" s="1332"/>
      <c r="EL3" s="1330" t="s">
        <v>575</v>
      </c>
      <c r="EM3" s="1331"/>
      <c r="EN3" s="1331"/>
      <c r="EO3" s="1332"/>
      <c r="EP3" s="1330" t="s">
        <v>574</v>
      </c>
      <c r="EQ3" s="1331"/>
      <c r="ER3" s="1331"/>
      <c r="ES3" s="1332"/>
      <c r="ET3" s="1330" t="s">
        <v>573</v>
      </c>
      <c r="EU3" s="1331"/>
      <c r="EV3" s="1331"/>
      <c r="EW3" s="1332"/>
      <c r="EX3" s="1330" t="s">
        <v>572</v>
      </c>
      <c r="EY3" s="1331"/>
      <c r="EZ3" s="1331"/>
      <c r="FA3" s="1332"/>
      <c r="FB3" s="1330" t="s">
        <v>571</v>
      </c>
      <c r="FC3" s="1331"/>
      <c r="FD3" s="1331"/>
      <c r="FE3" s="1332"/>
      <c r="FF3" s="1330" t="s">
        <v>570</v>
      </c>
      <c r="FG3" s="1331"/>
      <c r="FH3" s="1331"/>
      <c r="FI3" s="1332"/>
      <c r="FJ3" s="1330" t="s">
        <v>569</v>
      </c>
      <c r="FK3" s="1331"/>
      <c r="FL3" s="1331"/>
      <c r="FM3" s="1332"/>
      <c r="FN3" s="1330" t="s">
        <v>568</v>
      </c>
      <c r="FO3" s="1331"/>
      <c r="FP3" s="1331"/>
      <c r="FQ3" s="1332"/>
      <c r="FR3" s="1330" t="s">
        <v>567</v>
      </c>
      <c r="FS3" s="1331"/>
      <c r="FT3" s="1331"/>
      <c r="FU3" s="1332"/>
      <c r="FV3" s="1330" t="s">
        <v>566</v>
      </c>
      <c r="FW3" s="1331"/>
      <c r="FX3" s="1331"/>
      <c r="FY3" s="1332"/>
      <c r="FZ3" s="1330" t="s">
        <v>565</v>
      </c>
      <c r="GA3" s="1331"/>
      <c r="GB3" s="1331"/>
      <c r="GC3" s="1332"/>
      <c r="GD3" s="1330" t="s">
        <v>564</v>
      </c>
      <c r="GE3" s="1331"/>
      <c r="GF3" s="1331"/>
      <c r="GG3" s="1332"/>
      <c r="GH3" s="1330" t="s">
        <v>563</v>
      </c>
      <c r="GI3" s="1331"/>
      <c r="GJ3" s="1331"/>
      <c r="GK3" s="1332"/>
      <c r="GL3" s="1330" t="s">
        <v>562</v>
      </c>
      <c r="GM3" s="1331"/>
      <c r="GN3" s="1331"/>
      <c r="GO3" s="1332"/>
      <c r="GP3" s="1330" t="s">
        <v>561</v>
      </c>
      <c r="GQ3" s="1331"/>
      <c r="GR3" s="1331"/>
      <c r="GS3" s="1332"/>
      <c r="GT3" s="1330" t="s">
        <v>560</v>
      </c>
      <c r="GU3" s="1331"/>
      <c r="GV3" s="1331"/>
      <c r="GW3" s="1332"/>
      <c r="GX3" s="1330" t="s">
        <v>559</v>
      </c>
      <c r="GY3" s="1331"/>
      <c r="GZ3" s="1331"/>
      <c r="HA3" s="1332"/>
      <c r="HB3" s="1330" t="s">
        <v>558</v>
      </c>
      <c r="HC3" s="1331"/>
      <c r="HD3" s="1331"/>
      <c r="HE3" s="1332"/>
      <c r="HF3" s="1330" t="s">
        <v>557</v>
      </c>
      <c r="HG3" s="1331"/>
      <c r="HH3" s="1331"/>
      <c r="HI3" s="1332"/>
      <c r="HJ3" s="1330" t="s">
        <v>556</v>
      </c>
      <c r="HK3" s="1331"/>
      <c r="HL3" s="1331"/>
      <c r="HM3" s="1332"/>
      <c r="HN3" s="1330" t="s">
        <v>555</v>
      </c>
      <c r="HO3" s="1331"/>
      <c r="HP3" s="1331"/>
      <c r="HQ3" s="1332"/>
      <c r="HR3" s="1330" t="s">
        <v>554</v>
      </c>
      <c r="HS3" s="1331"/>
      <c r="HT3" s="1331"/>
      <c r="HU3" s="1332"/>
      <c r="HV3" s="1330" t="s">
        <v>553</v>
      </c>
      <c r="HW3" s="1331"/>
      <c r="HX3" s="1331"/>
      <c r="HY3" s="1332"/>
      <c r="HZ3" s="1330" t="s">
        <v>552</v>
      </c>
      <c r="IA3" s="1331"/>
      <c r="IB3" s="1331"/>
      <c r="IC3" s="1332"/>
      <c r="ID3" s="1330" t="s">
        <v>551</v>
      </c>
      <c r="IE3" s="1331"/>
      <c r="IF3" s="1331"/>
      <c r="IG3" s="1332"/>
      <c r="IH3" s="1330" t="s">
        <v>550</v>
      </c>
      <c r="II3" s="1331"/>
      <c r="IJ3" s="1331"/>
      <c r="IK3" s="1332"/>
      <c r="IL3" s="1330" t="s">
        <v>549</v>
      </c>
      <c r="IM3" s="1331"/>
      <c r="IN3" s="1331"/>
      <c r="IO3" s="1332"/>
      <c r="IP3" s="1330" t="s">
        <v>548</v>
      </c>
      <c r="IQ3" s="1331"/>
      <c r="IR3" s="1331"/>
      <c r="IS3" s="1332"/>
      <c r="IT3" s="1330" t="s">
        <v>547</v>
      </c>
      <c r="IU3" s="1331"/>
      <c r="IV3" s="1331"/>
      <c r="IW3" s="1332"/>
      <c r="IX3" s="1330" t="s">
        <v>546</v>
      </c>
      <c r="IY3" s="1331"/>
      <c r="IZ3" s="1331"/>
      <c r="JA3" s="1332"/>
      <c r="JB3" s="1330" t="s">
        <v>545</v>
      </c>
      <c r="JC3" s="1331"/>
      <c r="JD3" s="1331"/>
      <c r="JE3" s="1332"/>
      <c r="JF3" s="1330" t="s">
        <v>544</v>
      </c>
      <c r="JG3" s="1331"/>
      <c r="JH3" s="1331"/>
      <c r="JI3" s="1332"/>
      <c r="JJ3" s="1330" t="s">
        <v>543</v>
      </c>
      <c r="JK3" s="1331"/>
      <c r="JL3" s="1331"/>
      <c r="JM3" s="1332"/>
      <c r="JN3" s="1330" t="s">
        <v>542</v>
      </c>
      <c r="JO3" s="1331"/>
      <c r="JP3" s="1331"/>
      <c r="JQ3" s="1332"/>
      <c r="JR3" s="1330" t="s">
        <v>541</v>
      </c>
      <c r="JS3" s="1331"/>
      <c r="JT3" s="1331"/>
      <c r="JU3" s="1332"/>
      <c r="JV3" s="1330" t="s">
        <v>803</v>
      </c>
      <c r="JW3" s="1331"/>
      <c r="JX3" s="1331"/>
      <c r="JY3" s="1332"/>
      <c r="JZ3" s="1330" t="s">
        <v>904</v>
      </c>
      <c r="KA3" s="1331"/>
      <c r="KB3" s="1331"/>
      <c r="KC3" s="1332"/>
      <c r="KD3" s="1330" t="s">
        <v>901</v>
      </c>
      <c r="KE3" s="1331"/>
      <c r="KF3" s="1331"/>
      <c r="KG3" s="1332"/>
    </row>
    <row r="4" spans="1:293" x14ac:dyDescent="0.3">
      <c r="A4" s="618"/>
      <c r="B4" s="629" t="s">
        <v>540</v>
      </c>
      <c r="C4" s="628" t="s">
        <v>539</v>
      </c>
      <c r="D4" s="628" t="s">
        <v>538</v>
      </c>
      <c r="E4" s="627" t="s">
        <v>112</v>
      </c>
      <c r="F4" s="629" t="s">
        <v>540</v>
      </c>
      <c r="G4" s="628" t="s">
        <v>539</v>
      </c>
      <c r="H4" s="628" t="s">
        <v>538</v>
      </c>
      <c r="I4" s="627" t="s">
        <v>112</v>
      </c>
      <c r="J4" s="629" t="s">
        <v>540</v>
      </c>
      <c r="K4" s="628" t="s">
        <v>539</v>
      </c>
      <c r="L4" s="628" t="s">
        <v>538</v>
      </c>
      <c r="M4" s="627" t="s">
        <v>112</v>
      </c>
      <c r="N4" s="629" t="s">
        <v>540</v>
      </c>
      <c r="O4" s="628" t="s">
        <v>539</v>
      </c>
      <c r="P4" s="628" t="s">
        <v>538</v>
      </c>
      <c r="Q4" s="627" t="s">
        <v>112</v>
      </c>
      <c r="R4" s="629" t="s">
        <v>540</v>
      </c>
      <c r="S4" s="628" t="s">
        <v>539</v>
      </c>
      <c r="T4" s="628" t="s">
        <v>538</v>
      </c>
      <c r="U4" s="627" t="s">
        <v>112</v>
      </c>
      <c r="V4" s="629" t="s">
        <v>540</v>
      </c>
      <c r="W4" s="628" t="s">
        <v>539</v>
      </c>
      <c r="X4" s="628" t="s">
        <v>538</v>
      </c>
      <c r="Y4" s="627" t="s">
        <v>112</v>
      </c>
      <c r="Z4" s="629" t="s">
        <v>540</v>
      </c>
      <c r="AA4" s="628" t="s">
        <v>539</v>
      </c>
      <c r="AB4" s="628" t="s">
        <v>538</v>
      </c>
      <c r="AC4" s="627" t="s">
        <v>112</v>
      </c>
      <c r="AD4" s="629" t="s">
        <v>540</v>
      </c>
      <c r="AE4" s="628" t="s">
        <v>539</v>
      </c>
      <c r="AF4" s="628" t="s">
        <v>538</v>
      </c>
      <c r="AG4" s="627" t="s">
        <v>112</v>
      </c>
      <c r="AH4" s="629" t="s">
        <v>540</v>
      </c>
      <c r="AI4" s="628" t="s">
        <v>539</v>
      </c>
      <c r="AJ4" s="628" t="s">
        <v>538</v>
      </c>
      <c r="AK4" s="627" t="s">
        <v>112</v>
      </c>
      <c r="AL4" s="629" t="s">
        <v>540</v>
      </c>
      <c r="AM4" s="628" t="s">
        <v>539</v>
      </c>
      <c r="AN4" s="628" t="s">
        <v>538</v>
      </c>
      <c r="AO4" s="627" t="s">
        <v>112</v>
      </c>
      <c r="AP4" s="629" t="s">
        <v>540</v>
      </c>
      <c r="AQ4" s="628" t="s">
        <v>539</v>
      </c>
      <c r="AR4" s="628" t="s">
        <v>538</v>
      </c>
      <c r="AS4" s="627" t="s">
        <v>112</v>
      </c>
      <c r="AT4" s="629" t="s">
        <v>540</v>
      </c>
      <c r="AU4" s="628" t="s">
        <v>539</v>
      </c>
      <c r="AV4" s="628" t="s">
        <v>538</v>
      </c>
      <c r="AW4" s="627" t="s">
        <v>112</v>
      </c>
      <c r="AX4" s="629" t="s">
        <v>540</v>
      </c>
      <c r="AY4" s="628" t="s">
        <v>539</v>
      </c>
      <c r="AZ4" s="628" t="s">
        <v>538</v>
      </c>
      <c r="BA4" s="627" t="s">
        <v>112</v>
      </c>
      <c r="BB4" s="629" t="s">
        <v>540</v>
      </c>
      <c r="BC4" s="628" t="s">
        <v>539</v>
      </c>
      <c r="BD4" s="628" t="s">
        <v>538</v>
      </c>
      <c r="BE4" s="627" t="s">
        <v>112</v>
      </c>
      <c r="BF4" s="629" t="s">
        <v>540</v>
      </c>
      <c r="BG4" s="628" t="s">
        <v>539</v>
      </c>
      <c r="BH4" s="628" t="s">
        <v>538</v>
      </c>
      <c r="BI4" s="627" t="s">
        <v>112</v>
      </c>
      <c r="BJ4" s="629" t="s">
        <v>540</v>
      </c>
      <c r="BK4" s="628" t="s">
        <v>539</v>
      </c>
      <c r="BL4" s="628" t="s">
        <v>538</v>
      </c>
      <c r="BM4" s="627" t="s">
        <v>112</v>
      </c>
      <c r="BN4" s="629" t="s">
        <v>540</v>
      </c>
      <c r="BO4" s="628" t="s">
        <v>539</v>
      </c>
      <c r="BP4" s="628" t="s">
        <v>538</v>
      </c>
      <c r="BQ4" s="627" t="s">
        <v>112</v>
      </c>
      <c r="BR4" s="629" t="s">
        <v>540</v>
      </c>
      <c r="BS4" s="628" t="s">
        <v>539</v>
      </c>
      <c r="BT4" s="628" t="s">
        <v>538</v>
      </c>
      <c r="BU4" s="627" t="s">
        <v>112</v>
      </c>
      <c r="BV4" s="629" t="s">
        <v>540</v>
      </c>
      <c r="BW4" s="628" t="s">
        <v>539</v>
      </c>
      <c r="BX4" s="628" t="s">
        <v>538</v>
      </c>
      <c r="BY4" s="627" t="s">
        <v>112</v>
      </c>
      <c r="BZ4" s="629" t="s">
        <v>540</v>
      </c>
      <c r="CA4" s="628" t="s">
        <v>539</v>
      </c>
      <c r="CB4" s="628" t="s">
        <v>538</v>
      </c>
      <c r="CC4" s="627" t="s">
        <v>112</v>
      </c>
      <c r="CD4" s="629" t="s">
        <v>540</v>
      </c>
      <c r="CE4" s="628" t="s">
        <v>539</v>
      </c>
      <c r="CF4" s="628" t="s">
        <v>538</v>
      </c>
      <c r="CG4" s="627" t="s">
        <v>112</v>
      </c>
      <c r="CH4" s="629" t="s">
        <v>540</v>
      </c>
      <c r="CI4" s="628" t="s">
        <v>539</v>
      </c>
      <c r="CJ4" s="628" t="s">
        <v>538</v>
      </c>
      <c r="CK4" s="627" t="s">
        <v>112</v>
      </c>
      <c r="CL4" s="629" t="s">
        <v>540</v>
      </c>
      <c r="CM4" s="628" t="s">
        <v>539</v>
      </c>
      <c r="CN4" s="628" t="s">
        <v>538</v>
      </c>
      <c r="CO4" s="627" t="s">
        <v>112</v>
      </c>
      <c r="CP4" s="629" t="s">
        <v>540</v>
      </c>
      <c r="CQ4" s="628" t="s">
        <v>539</v>
      </c>
      <c r="CR4" s="628" t="s">
        <v>538</v>
      </c>
      <c r="CS4" s="627" t="s">
        <v>112</v>
      </c>
      <c r="CT4" s="629" t="s">
        <v>540</v>
      </c>
      <c r="CU4" s="628" t="s">
        <v>539</v>
      </c>
      <c r="CV4" s="628" t="s">
        <v>538</v>
      </c>
      <c r="CW4" s="627" t="s">
        <v>112</v>
      </c>
      <c r="CX4" s="629" t="s">
        <v>540</v>
      </c>
      <c r="CY4" s="628" t="s">
        <v>539</v>
      </c>
      <c r="CZ4" s="628" t="s">
        <v>538</v>
      </c>
      <c r="DA4" s="627" t="s">
        <v>112</v>
      </c>
      <c r="DB4" s="629" t="s">
        <v>540</v>
      </c>
      <c r="DC4" s="628" t="s">
        <v>539</v>
      </c>
      <c r="DD4" s="628" t="s">
        <v>538</v>
      </c>
      <c r="DE4" s="627" t="s">
        <v>112</v>
      </c>
      <c r="DF4" s="629" t="s">
        <v>540</v>
      </c>
      <c r="DG4" s="628" t="s">
        <v>539</v>
      </c>
      <c r="DH4" s="628" t="s">
        <v>538</v>
      </c>
      <c r="DI4" s="627" t="s">
        <v>112</v>
      </c>
      <c r="DJ4" s="629" t="s">
        <v>540</v>
      </c>
      <c r="DK4" s="628" t="s">
        <v>539</v>
      </c>
      <c r="DL4" s="628" t="s">
        <v>538</v>
      </c>
      <c r="DM4" s="627" t="s">
        <v>112</v>
      </c>
      <c r="DN4" s="629" t="s">
        <v>540</v>
      </c>
      <c r="DO4" s="628" t="s">
        <v>539</v>
      </c>
      <c r="DP4" s="628" t="s">
        <v>538</v>
      </c>
      <c r="DQ4" s="627" t="s">
        <v>112</v>
      </c>
      <c r="DR4" s="629" t="s">
        <v>540</v>
      </c>
      <c r="DS4" s="628" t="s">
        <v>539</v>
      </c>
      <c r="DT4" s="628" t="s">
        <v>538</v>
      </c>
      <c r="DU4" s="627" t="s">
        <v>112</v>
      </c>
      <c r="DV4" s="629" t="s">
        <v>540</v>
      </c>
      <c r="DW4" s="628" t="s">
        <v>539</v>
      </c>
      <c r="DX4" s="628" t="s">
        <v>538</v>
      </c>
      <c r="DY4" s="627" t="s">
        <v>112</v>
      </c>
      <c r="DZ4" s="629" t="s">
        <v>540</v>
      </c>
      <c r="EA4" s="628" t="s">
        <v>539</v>
      </c>
      <c r="EB4" s="628" t="s">
        <v>538</v>
      </c>
      <c r="EC4" s="627" t="s">
        <v>112</v>
      </c>
      <c r="ED4" s="629" t="s">
        <v>540</v>
      </c>
      <c r="EE4" s="628" t="s">
        <v>539</v>
      </c>
      <c r="EF4" s="628" t="s">
        <v>538</v>
      </c>
      <c r="EG4" s="627" t="s">
        <v>112</v>
      </c>
      <c r="EH4" s="629" t="s">
        <v>540</v>
      </c>
      <c r="EI4" s="628" t="s">
        <v>539</v>
      </c>
      <c r="EJ4" s="628" t="s">
        <v>538</v>
      </c>
      <c r="EK4" s="627" t="s">
        <v>112</v>
      </c>
      <c r="EL4" s="629" t="s">
        <v>540</v>
      </c>
      <c r="EM4" s="628" t="s">
        <v>539</v>
      </c>
      <c r="EN4" s="628" t="s">
        <v>538</v>
      </c>
      <c r="EO4" s="627" t="s">
        <v>112</v>
      </c>
      <c r="EP4" s="629" t="s">
        <v>540</v>
      </c>
      <c r="EQ4" s="628" t="s">
        <v>539</v>
      </c>
      <c r="ER4" s="628" t="s">
        <v>538</v>
      </c>
      <c r="ES4" s="627" t="s">
        <v>112</v>
      </c>
      <c r="ET4" s="629" t="s">
        <v>540</v>
      </c>
      <c r="EU4" s="628" t="s">
        <v>539</v>
      </c>
      <c r="EV4" s="628" t="s">
        <v>538</v>
      </c>
      <c r="EW4" s="627" t="s">
        <v>112</v>
      </c>
      <c r="EX4" s="629" t="s">
        <v>540</v>
      </c>
      <c r="EY4" s="628" t="s">
        <v>539</v>
      </c>
      <c r="EZ4" s="628" t="s">
        <v>538</v>
      </c>
      <c r="FA4" s="627" t="s">
        <v>112</v>
      </c>
      <c r="FB4" s="629" t="s">
        <v>540</v>
      </c>
      <c r="FC4" s="628" t="s">
        <v>539</v>
      </c>
      <c r="FD4" s="628" t="s">
        <v>538</v>
      </c>
      <c r="FE4" s="627" t="s">
        <v>112</v>
      </c>
      <c r="FF4" s="629" t="s">
        <v>540</v>
      </c>
      <c r="FG4" s="628" t="s">
        <v>539</v>
      </c>
      <c r="FH4" s="628" t="s">
        <v>538</v>
      </c>
      <c r="FI4" s="627" t="s">
        <v>112</v>
      </c>
      <c r="FJ4" s="629" t="s">
        <v>540</v>
      </c>
      <c r="FK4" s="628" t="s">
        <v>539</v>
      </c>
      <c r="FL4" s="628" t="s">
        <v>538</v>
      </c>
      <c r="FM4" s="627" t="s">
        <v>112</v>
      </c>
      <c r="FN4" s="629" t="s">
        <v>540</v>
      </c>
      <c r="FO4" s="628" t="s">
        <v>539</v>
      </c>
      <c r="FP4" s="628" t="s">
        <v>538</v>
      </c>
      <c r="FQ4" s="627" t="s">
        <v>112</v>
      </c>
      <c r="FR4" s="629" t="s">
        <v>540</v>
      </c>
      <c r="FS4" s="628" t="s">
        <v>539</v>
      </c>
      <c r="FT4" s="628" t="s">
        <v>538</v>
      </c>
      <c r="FU4" s="627" t="s">
        <v>112</v>
      </c>
      <c r="FV4" s="629" t="s">
        <v>540</v>
      </c>
      <c r="FW4" s="628" t="s">
        <v>539</v>
      </c>
      <c r="FX4" s="628" t="s">
        <v>538</v>
      </c>
      <c r="FY4" s="627" t="s">
        <v>112</v>
      </c>
      <c r="FZ4" s="629" t="s">
        <v>540</v>
      </c>
      <c r="GA4" s="628" t="s">
        <v>539</v>
      </c>
      <c r="GB4" s="628" t="s">
        <v>538</v>
      </c>
      <c r="GC4" s="627" t="s">
        <v>112</v>
      </c>
      <c r="GD4" s="629" t="s">
        <v>540</v>
      </c>
      <c r="GE4" s="628" t="s">
        <v>539</v>
      </c>
      <c r="GF4" s="628" t="s">
        <v>538</v>
      </c>
      <c r="GG4" s="627" t="s">
        <v>112</v>
      </c>
      <c r="GH4" s="629" t="s">
        <v>540</v>
      </c>
      <c r="GI4" s="628" t="s">
        <v>539</v>
      </c>
      <c r="GJ4" s="628" t="s">
        <v>538</v>
      </c>
      <c r="GK4" s="627" t="s">
        <v>112</v>
      </c>
      <c r="GL4" s="629" t="s">
        <v>540</v>
      </c>
      <c r="GM4" s="628" t="s">
        <v>539</v>
      </c>
      <c r="GN4" s="628" t="s">
        <v>538</v>
      </c>
      <c r="GO4" s="627" t="s">
        <v>112</v>
      </c>
      <c r="GP4" s="629" t="s">
        <v>540</v>
      </c>
      <c r="GQ4" s="628" t="s">
        <v>539</v>
      </c>
      <c r="GR4" s="628" t="s">
        <v>538</v>
      </c>
      <c r="GS4" s="627" t="s">
        <v>112</v>
      </c>
      <c r="GT4" s="629" t="s">
        <v>540</v>
      </c>
      <c r="GU4" s="628" t="s">
        <v>539</v>
      </c>
      <c r="GV4" s="628" t="s">
        <v>538</v>
      </c>
      <c r="GW4" s="627" t="s">
        <v>112</v>
      </c>
      <c r="GX4" s="629" t="s">
        <v>540</v>
      </c>
      <c r="GY4" s="628" t="s">
        <v>539</v>
      </c>
      <c r="GZ4" s="628" t="s">
        <v>538</v>
      </c>
      <c r="HA4" s="627" t="s">
        <v>112</v>
      </c>
      <c r="HB4" s="629" t="s">
        <v>540</v>
      </c>
      <c r="HC4" s="628" t="s">
        <v>539</v>
      </c>
      <c r="HD4" s="628" t="s">
        <v>538</v>
      </c>
      <c r="HE4" s="627" t="s">
        <v>112</v>
      </c>
      <c r="HF4" s="629" t="s">
        <v>540</v>
      </c>
      <c r="HG4" s="628" t="s">
        <v>539</v>
      </c>
      <c r="HH4" s="628" t="s">
        <v>538</v>
      </c>
      <c r="HI4" s="627" t="s">
        <v>112</v>
      </c>
      <c r="HJ4" s="629" t="s">
        <v>540</v>
      </c>
      <c r="HK4" s="628" t="s">
        <v>539</v>
      </c>
      <c r="HL4" s="628" t="s">
        <v>538</v>
      </c>
      <c r="HM4" s="627" t="s">
        <v>112</v>
      </c>
      <c r="HN4" s="629" t="s">
        <v>540</v>
      </c>
      <c r="HO4" s="628" t="s">
        <v>539</v>
      </c>
      <c r="HP4" s="628" t="s">
        <v>538</v>
      </c>
      <c r="HQ4" s="627" t="s">
        <v>112</v>
      </c>
      <c r="HR4" s="629" t="s">
        <v>540</v>
      </c>
      <c r="HS4" s="628" t="s">
        <v>539</v>
      </c>
      <c r="HT4" s="628" t="s">
        <v>538</v>
      </c>
      <c r="HU4" s="627" t="s">
        <v>112</v>
      </c>
      <c r="HV4" s="629" t="s">
        <v>540</v>
      </c>
      <c r="HW4" s="628" t="s">
        <v>539</v>
      </c>
      <c r="HX4" s="628" t="s">
        <v>538</v>
      </c>
      <c r="HY4" s="627" t="s">
        <v>112</v>
      </c>
      <c r="HZ4" s="629" t="s">
        <v>540</v>
      </c>
      <c r="IA4" s="628" t="s">
        <v>539</v>
      </c>
      <c r="IB4" s="628" t="s">
        <v>538</v>
      </c>
      <c r="IC4" s="627" t="s">
        <v>112</v>
      </c>
      <c r="ID4" s="629" t="s">
        <v>540</v>
      </c>
      <c r="IE4" s="628" t="s">
        <v>539</v>
      </c>
      <c r="IF4" s="628" t="s">
        <v>538</v>
      </c>
      <c r="IG4" s="627" t="s">
        <v>112</v>
      </c>
      <c r="IH4" s="629" t="s">
        <v>540</v>
      </c>
      <c r="II4" s="628" t="s">
        <v>539</v>
      </c>
      <c r="IJ4" s="628" t="s">
        <v>538</v>
      </c>
      <c r="IK4" s="627" t="s">
        <v>112</v>
      </c>
      <c r="IL4" s="629" t="s">
        <v>540</v>
      </c>
      <c r="IM4" s="628" t="s">
        <v>539</v>
      </c>
      <c r="IN4" s="628" t="s">
        <v>538</v>
      </c>
      <c r="IO4" s="627" t="s">
        <v>112</v>
      </c>
      <c r="IP4" s="629" t="s">
        <v>540</v>
      </c>
      <c r="IQ4" s="628" t="s">
        <v>539</v>
      </c>
      <c r="IR4" s="628" t="s">
        <v>538</v>
      </c>
      <c r="IS4" s="627" t="s">
        <v>112</v>
      </c>
      <c r="IT4" s="629" t="s">
        <v>540</v>
      </c>
      <c r="IU4" s="628" t="s">
        <v>539</v>
      </c>
      <c r="IV4" s="628" t="s">
        <v>538</v>
      </c>
      <c r="IW4" s="627" t="s">
        <v>112</v>
      </c>
      <c r="IX4" s="629" t="s">
        <v>540</v>
      </c>
      <c r="IY4" s="628" t="s">
        <v>539</v>
      </c>
      <c r="IZ4" s="628" t="s">
        <v>538</v>
      </c>
      <c r="JA4" s="627" t="s">
        <v>112</v>
      </c>
      <c r="JB4" s="629" t="s">
        <v>540</v>
      </c>
      <c r="JC4" s="628" t="s">
        <v>539</v>
      </c>
      <c r="JD4" s="628" t="s">
        <v>538</v>
      </c>
      <c r="JE4" s="627" t="s">
        <v>112</v>
      </c>
      <c r="JF4" s="629" t="s">
        <v>540</v>
      </c>
      <c r="JG4" s="628" t="s">
        <v>539</v>
      </c>
      <c r="JH4" s="628" t="s">
        <v>538</v>
      </c>
      <c r="JI4" s="627" t="s">
        <v>112</v>
      </c>
      <c r="JJ4" s="629" t="s">
        <v>540</v>
      </c>
      <c r="JK4" s="628" t="s">
        <v>539</v>
      </c>
      <c r="JL4" s="628" t="s">
        <v>538</v>
      </c>
      <c r="JM4" s="627" t="s">
        <v>112</v>
      </c>
      <c r="JN4" s="629" t="s">
        <v>540</v>
      </c>
      <c r="JO4" s="628" t="s">
        <v>539</v>
      </c>
      <c r="JP4" s="628" t="s">
        <v>538</v>
      </c>
      <c r="JQ4" s="627" t="s">
        <v>112</v>
      </c>
      <c r="JR4" s="629" t="s">
        <v>540</v>
      </c>
      <c r="JS4" s="628" t="s">
        <v>539</v>
      </c>
      <c r="JT4" s="628" t="s">
        <v>538</v>
      </c>
      <c r="JU4" s="627" t="s">
        <v>112</v>
      </c>
      <c r="JV4" s="629" t="s">
        <v>540</v>
      </c>
      <c r="JW4" s="628" t="s">
        <v>539</v>
      </c>
      <c r="JX4" s="1125" t="s">
        <v>538</v>
      </c>
      <c r="JY4" s="1126" t="s">
        <v>112</v>
      </c>
      <c r="JZ4" s="629" t="s">
        <v>540</v>
      </c>
      <c r="KA4" s="1125" t="s">
        <v>539</v>
      </c>
      <c r="KB4" s="1125" t="s">
        <v>538</v>
      </c>
      <c r="KC4" s="1126" t="s">
        <v>112</v>
      </c>
      <c r="KD4" s="629" t="s">
        <v>540</v>
      </c>
      <c r="KE4" s="1125" t="s">
        <v>539</v>
      </c>
      <c r="KF4" s="1125" t="s">
        <v>538</v>
      </c>
      <c r="KG4" s="1126" t="s">
        <v>112</v>
      </c>
    </row>
    <row r="5" spans="1:293" x14ac:dyDescent="0.3">
      <c r="A5" s="618"/>
      <c r="B5" s="603"/>
      <c r="C5" s="121"/>
      <c r="D5" s="121"/>
      <c r="E5" s="598"/>
      <c r="F5" s="603"/>
      <c r="G5" s="121"/>
      <c r="H5" s="121"/>
      <c r="I5" s="598"/>
      <c r="J5" s="603"/>
      <c r="K5" s="121"/>
      <c r="L5" s="121"/>
      <c r="M5" s="598"/>
      <c r="N5" s="603"/>
      <c r="O5" s="121"/>
      <c r="P5" s="121"/>
      <c r="Q5" s="598"/>
      <c r="R5" s="626"/>
      <c r="S5" s="625"/>
      <c r="T5" s="625"/>
      <c r="U5" s="624"/>
      <c r="V5" s="626"/>
      <c r="W5" s="625"/>
      <c r="X5" s="625"/>
      <c r="Y5" s="624"/>
      <c r="Z5" s="626"/>
      <c r="AA5" s="625"/>
      <c r="AB5" s="625"/>
      <c r="AC5" s="624"/>
      <c r="AD5" s="626"/>
      <c r="AE5" s="625"/>
      <c r="AF5" s="625"/>
      <c r="AG5" s="624"/>
      <c r="AH5" s="626"/>
      <c r="AI5" s="625"/>
      <c r="AJ5" s="625"/>
      <c r="AK5" s="624"/>
      <c r="AL5" s="626"/>
      <c r="AM5" s="625"/>
      <c r="AN5" s="625"/>
      <c r="AO5" s="624"/>
      <c r="AP5" s="626"/>
      <c r="AQ5" s="625"/>
      <c r="AR5" s="625"/>
      <c r="AS5" s="624"/>
      <c r="AT5" s="626"/>
      <c r="AU5" s="625"/>
      <c r="AV5" s="625"/>
      <c r="AW5" s="624"/>
      <c r="AX5" s="626"/>
      <c r="AY5" s="625"/>
      <c r="AZ5" s="625"/>
      <c r="BA5" s="624"/>
      <c r="BB5" s="626"/>
      <c r="BC5" s="625"/>
      <c r="BD5" s="625"/>
      <c r="BE5" s="624"/>
      <c r="BF5" s="626"/>
      <c r="BG5" s="625"/>
      <c r="BH5" s="625"/>
      <c r="BI5" s="624"/>
      <c r="BJ5" s="626"/>
      <c r="BK5" s="625"/>
      <c r="BL5" s="625"/>
      <c r="BM5" s="624"/>
      <c r="BN5" s="626"/>
      <c r="BO5" s="625"/>
      <c r="BP5" s="625"/>
      <c r="BQ5" s="624"/>
      <c r="BR5" s="626"/>
      <c r="BS5" s="625"/>
      <c r="BT5" s="625"/>
      <c r="BU5" s="624"/>
      <c r="BV5" s="626"/>
      <c r="BW5" s="625"/>
      <c r="BX5" s="625"/>
      <c r="BY5" s="624"/>
      <c r="BZ5" s="626"/>
      <c r="CA5" s="625"/>
      <c r="CB5" s="625"/>
      <c r="CC5" s="624"/>
      <c r="CD5" s="626"/>
      <c r="CE5" s="625"/>
      <c r="CF5" s="625"/>
      <c r="CG5" s="624"/>
      <c r="CH5" s="626"/>
      <c r="CI5" s="625"/>
      <c r="CJ5" s="625"/>
      <c r="CK5" s="624"/>
      <c r="CL5" s="626"/>
      <c r="CM5" s="625"/>
      <c r="CN5" s="625"/>
      <c r="CO5" s="624"/>
      <c r="CP5" s="626"/>
      <c r="CQ5" s="625"/>
      <c r="CR5" s="625"/>
      <c r="CS5" s="624"/>
      <c r="CT5" s="626"/>
      <c r="CU5" s="625"/>
      <c r="CV5" s="625"/>
      <c r="CW5" s="624"/>
      <c r="CX5" s="626"/>
      <c r="CY5" s="625"/>
      <c r="CZ5" s="625"/>
      <c r="DA5" s="624"/>
      <c r="DB5" s="626"/>
      <c r="DC5" s="625"/>
      <c r="DD5" s="625"/>
      <c r="DE5" s="624"/>
      <c r="DF5" s="626"/>
      <c r="DG5" s="625"/>
      <c r="DH5" s="625"/>
      <c r="DI5" s="624"/>
      <c r="DJ5" s="626"/>
      <c r="DK5" s="625"/>
      <c r="DL5" s="625"/>
      <c r="DM5" s="624"/>
      <c r="DN5" s="626"/>
      <c r="DO5" s="625"/>
      <c r="DP5" s="625"/>
      <c r="DQ5" s="624"/>
      <c r="DR5" s="626"/>
      <c r="DS5" s="625"/>
      <c r="DT5" s="625"/>
      <c r="DU5" s="624"/>
      <c r="DV5" s="626"/>
      <c r="DW5" s="625"/>
      <c r="DX5" s="625"/>
      <c r="DY5" s="624"/>
      <c r="DZ5" s="626"/>
      <c r="EA5" s="625"/>
      <c r="EB5" s="625"/>
      <c r="EC5" s="624"/>
      <c r="ED5" s="626"/>
      <c r="EE5" s="625"/>
      <c r="EF5" s="625"/>
      <c r="EG5" s="624"/>
      <c r="EH5" s="626"/>
      <c r="EI5" s="625"/>
      <c r="EJ5" s="625"/>
      <c r="EK5" s="624"/>
      <c r="EL5" s="626"/>
      <c r="EM5" s="625"/>
      <c r="EN5" s="625"/>
      <c r="EO5" s="624"/>
      <c r="EP5" s="626"/>
      <c r="EQ5" s="625"/>
      <c r="ER5" s="625"/>
      <c r="ES5" s="624"/>
      <c r="ET5" s="626"/>
      <c r="EU5" s="625"/>
      <c r="EV5" s="625"/>
      <c r="EW5" s="624"/>
      <c r="EX5" s="626"/>
      <c r="EY5" s="625"/>
      <c r="EZ5" s="625"/>
      <c r="FA5" s="624"/>
      <c r="FB5" s="626"/>
      <c r="FC5" s="625"/>
      <c r="FD5" s="625"/>
      <c r="FE5" s="624"/>
      <c r="FF5" s="626"/>
      <c r="FG5" s="625"/>
      <c r="FH5" s="625"/>
      <c r="FI5" s="624"/>
      <c r="FJ5" s="626"/>
      <c r="FK5" s="625"/>
      <c r="FL5" s="625"/>
      <c r="FM5" s="624"/>
      <c r="FN5" s="626"/>
      <c r="FO5" s="625"/>
      <c r="FP5" s="625"/>
      <c r="FQ5" s="624"/>
      <c r="FR5" s="626"/>
      <c r="FS5" s="625"/>
      <c r="FT5" s="625"/>
      <c r="FU5" s="624"/>
      <c r="FV5" s="626"/>
      <c r="FW5" s="625"/>
      <c r="FX5" s="625"/>
      <c r="FY5" s="624"/>
      <c r="FZ5" s="626"/>
      <c r="GA5" s="625"/>
      <c r="GB5" s="625"/>
      <c r="GC5" s="624"/>
      <c r="GD5" s="626"/>
      <c r="GE5" s="625"/>
      <c r="GF5" s="625"/>
      <c r="GG5" s="624"/>
      <c r="GH5" s="626"/>
      <c r="GI5" s="625"/>
      <c r="GJ5" s="625"/>
      <c r="GK5" s="624"/>
      <c r="GL5" s="626"/>
      <c r="GM5" s="625"/>
      <c r="GN5" s="625"/>
      <c r="GO5" s="624"/>
      <c r="GP5" s="626"/>
      <c r="GQ5" s="625"/>
      <c r="GR5" s="625"/>
      <c r="GS5" s="624"/>
      <c r="GT5" s="626"/>
      <c r="GU5" s="625"/>
      <c r="GV5" s="625"/>
      <c r="GW5" s="624"/>
      <c r="GX5" s="626"/>
      <c r="GY5" s="625"/>
      <c r="GZ5" s="625"/>
      <c r="HA5" s="624"/>
      <c r="HB5" s="626"/>
      <c r="HC5" s="625"/>
      <c r="HD5" s="625"/>
      <c r="HE5" s="624"/>
      <c r="HF5" s="626"/>
      <c r="HG5" s="625"/>
      <c r="HH5" s="625"/>
      <c r="HI5" s="624"/>
      <c r="HJ5" s="626"/>
      <c r="HK5" s="625"/>
      <c r="HL5" s="625"/>
      <c r="HM5" s="624"/>
      <c r="HN5" s="626"/>
      <c r="HO5" s="625"/>
      <c r="HP5" s="625"/>
      <c r="HQ5" s="624"/>
      <c r="HR5" s="626"/>
      <c r="HS5" s="625"/>
      <c r="HT5" s="625"/>
      <c r="HU5" s="624"/>
      <c r="HV5" s="626"/>
      <c r="HW5" s="625"/>
      <c r="HX5" s="625"/>
      <c r="HY5" s="624"/>
      <c r="HZ5" s="626"/>
      <c r="IA5" s="625"/>
      <c r="IB5" s="625"/>
      <c r="IC5" s="624"/>
      <c r="ID5" s="626"/>
      <c r="IE5" s="625"/>
      <c r="IF5" s="625"/>
      <c r="IG5" s="624"/>
      <c r="IH5" s="626"/>
      <c r="II5" s="625"/>
      <c r="IJ5" s="625"/>
      <c r="IK5" s="624"/>
      <c r="IL5" s="626"/>
      <c r="IM5" s="625"/>
      <c r="IN5" s="625"/>
      <c r="IO5" s="624"/>
      <c r="IP5" s="626"/>
      <c r="IQ5" s="625"/>
      <c r="IR5" s="625"/>
      <c r="IS5" s="624"/>
      <c r="IT5" s="626"/>
      <c r="IU5" s="625"/>
      <c r="IV5" s="625"/>
      <c r="IW5" s="624"/>
      <c r="IX5" s="626"/>
      <c r="IY5" s="625"/>
      <c r="IZ5" s="625"/>
      <c r="JA5" s="624"/>
      <c r="JB5" s="626"/>
      <c r="JC5" s="625"/>
      <c r="JD5" s="625"/>
      <c r="JE5" s="624"/>
      <c r="JF5" s="626"/>
      <c r="JG5" s="625"/>
      <c r="JH5" s="625"/>
      <c r="JI5" s="624"/>
      <c r="JJ5" s="626"/>
      <c r="JK5" s="625"/>
      <c r="JL5" s="625"/>
      <c r="JM5" s="624"/>
      <c r="JN5" s="626"/>
      <c r="JO5" s="625"/>
      <c r="JP5" s="625"/>
      <c r="JQ5" s="624"/>
      <c r="JR5" s="626"/>
      <c r="JS5" s="625"/>
      <c r="JT5" s="625"/>
      <c r="JU5" s="624"/>
      <c r="JV5" s="626"/>
      <c r="JW5" s="625"/>
      <c r="JX5" s="625"/>
      <c r="JY5" s="624"/>
      <c r="JZ5" s="626"/>
      <c r="KA5" s="625"/>
      <c r="KB5" s="625"/>
      <c r="KC5" s="624"/>
      <c r="KD5" s="626"/>
      <c r="KE5" s="625"/>
      <c r="KF5" s="625"/>
      <c r="KG5" s="624"/>
    </row>
    <row r="6" spans="1:293" ht="30.25" customHeight="1" x14ac:dyDescent="0.3">
      <c r="A6" s="616" t="s">
        <v>537</v>
      </c>
      <c r="B6" s="603"/>
      <c r="C6" s="121"/>
      <c r="D6" s="121"/>
      <c r="E6" s="598"/>
      <c r="F6" s="603"/>
      <c r="G6" s="121"/>
      <c r="H6" s="121"/>
      <c r="I6" s="598"/>
      <c r="J6" s="603"/>
      <c r="K6" s="121"/>
      <c r="L6" s="121"/>
      <c r="M6" s="598"/>
      <c r="N6" s="603"/>
      <c r="O6" s="121"/>
      <c r="P6" s="121"/>
      <c r="Q6" s="598"/>
      <c r="R6" s="603"/>
      <c r="S6" s="121"/>
      <c r="T6" s="121"/>
      <c r="U6" s="598"/>
      <c r="V6" s="603"/>
      <c r="W6" s="121"/>
      <c r="X6" s="121"/>
      <c r="Y6" s="598"/>
      <c r="Z6" s="603"/>
      <c r="AA6" s="121"/>
      <c r="AB6" s="121"/>
      <c r="AC6" s="598"/>
      <c r="AD6" s="603"/>
      <c r="AE6" s="121"/>
      <c r="AF6" s="121"/>
      <c r="AG6" s="598"/>
      <c r="AH6" s="603"/>
      <c r="AI6" s="121"/>
      <c r="AJ6" s="121"/>
      <c r="AK6" s="598"/>
      <c r="AL6" s="603"/>
      <c r="AM6" s="121"/>
      <c r="AN6" s="121"/>
      <c r="AO6" s="598"/>
      <c r="AP6" s="603"/>
      <c r="AQ6" s="121"/>
      <c r="AR6" s="121"/>
      <c r="AS6" s="598"/>
      <c r="AT6" s="603"/>
      <c r="AU6" s="121"/>
      <c r="AV6" s="121"/>
      <c r="AW6" s="598"/>
      <c r="AX6" s="603"/>
      <c r="AY6" s="121"/>
      <c r="AZ6" s="121"/>
      <c r="BA6" s="598"/>
      <c r="BB6" s="603"/>
      <c r="BC6" s="121"/>
      <c r="BD6" s="121"/>
      <c r="BE6" s="598"/>
      <c r="BF6" s="603"/>
      <c r="BG6" s="121"/>
      <c r="BH6" s="121"/>
      <c r="BI6" s="598"/>
      <c r="BJ6" s="603"/>
      <c r="BK6" s="121"/>
      <c r="BL6" s="121"/>
      <c r="BM6" s="598"/>
      <c r="BN6" s="603"/>
      <c r="BO6" s="121"/>
      <c r="BP6" s="121"/>
      <c r="BQ6" s="598"/>
      <c r="BR6" s="603"/>
      <c r="BS6" s="121"/>
      <c r="BT6" s="121"/>
      <c r="BU6" s="598"/>
      <c r="BV6" s="603"/>
      <c r="BW6" s="121"/>
      <c r="BX6" s="121"/>
      <c r="BY6" s="598"/>
      <c r="BZ6" s="603"/>
      <c r="CA6" s="121"/>
      <c r="CB6" s="121"/>
      <c r="CC6" s="598"/>
      <c r="CD6" s="603"/>
      <c r="CE6" s="121"/>
      <c r="CF6" s="121"/>
      <c r="CG6" s="598"/>
      <c r="CH6" s="603"/>
      <c r="CI6" s="121"/>
      <c r="CJ6" s="121"/>
      <c r="CK6" s="598"/>
      <c r="CL6" s="603"/>
      <c r="CM6" s="121"/>
      <c r="CN6" s="121"/>
      <c r="CO6" s="598"/>
      <c r="CP6" s="603"/>
      <c r="CQ6" s="121"/>
      <c r="CR6" s="121"/>
      <c r="CS6" s="598"/>
      <c r="CT6" s="603"/>
      <c r="CU6" s="121"/>
      <c r="CV6" s="121"/>
      <c r="CW6" s="598"/>
      <c r="CX6" s="603"/>
      <c r="CY6" s="121"/>
      <c r="CZ6" s="121"/>
      <c r="DA6" s="598"/>
      <c r="DB6" s="603"/>
      <c r="DC6" s="121"/>
      <c r="DD6" s="121"/>
      <c r="DE6" s="598"/>
      <c r="DF6" s="603"/>
      <c r="DG6" s="121"/>
      <c r="DH6" s="121"/>
      <c r="DI6" s="598"/>
      <c r="DJ6" s="603"/>
      <c r="DK6" s="121"/>
      <c r="DL6" s="121"/>
      <c r="DM6" s="598"/>
      <c r="DN6" s="603"/>
      <c r="DO6" s="121"/>
      <c r="DP6" s="121"/>
      <c r="DQ6" s="598"/>
      <c r="DR6" s="603"/>
      <c r="DS6" s="121"/>
      <c r="DT6" s="121"/>
      <c r="DU6" s="598"/>
      <c r="DV6" s="603"/>
      <c r="DW6" s="121"/>
      <c r="DX6" s="121"/>
      <c r="DY6" s="598"/>
      <c r="DZ6" s="603"/>
      <c r="EA6" s="121"/>
      <c r="EB6" s="121"/>
      <c r="EC6" s="598"/>
      <c r="ED6" s="603"/>
      <c r="EE6" s="121"/>
      <c r="EF6" s="121"/>
      <c r="EG6" s="598"/>
      <c r="EH6" s="603"/>
      <c r="EI6" s="121"/>
      <c r="EJ6" s="121"/>
      <c r="EK6" s="598"/>
      <c r="EL6" s="603"/>
      <c r="EM6" s="121"/>
      <c r="EN6" s="121"/>
      <c r="EO6" s="598"/>
      <c r="EP6" s="603"/>
      <c r="EQ6" s="121"/>
      <c r="ER6" s="121"/>
      <c r="ES6" s="598"/>
      <c r="ET6" s="603"/>
      <c r="EU6" s="121"/>
      <c r="EV6" s="121"/>
      <c r="EW6" s="598"/>
      <c r="EX6" s="603"/>
      <c r="EY6" s="121"/>
      <c r="EZ6" s="121"/>
      <c r="FA6" s="598"/>
      <c r="FB6" s="603"/>
      <c r="FC6" s="121"/>
      <c r="FD6" s="121"/>
      <c r="FE6" s="598"/>
      <c r="FF6" s="603"/>
      <c r="FG6" s="121"/>
      <c r="FH6" s="121"/>
      <c r="FI6" s="598"/>
      <c r="FJ6" s="603"/>
      <c r="FK6" s="121"/>
      <c r="FL6" s="121"/>
      <c r="FM6" s="598"/>
      <c r="FN6" s="603"/>
      <c r="FO6" s="121"/>
      <c r="FP6" s="121"/>
      <c r="FQ6" s="598"/>
      <c r="FR6" s="603"/>
      <c r="FS6" s="121"/>
      <c r="FT6" s="121"/>
      <c r="FU6" s="598"/>
      <c r="FV6" s="603"/>
      <c r="FW6" s="121"/>
      <c r="FX6" s="121"/>
      <c r="FY6" s="598"/>
      <c r="FZ6" s="603"/>
      <c r="GA6" s="121"/>
      <c r="GB6" s="121"/>
      <c r="GC6" s="598"/>
      <c r="GD6" s="603"/>
      <c r="GE6" s="121"/>
      <c r="GF6" s="121"/>
      <c r="GG6" s="598"/>
      <c r="GH6" s="603"/>
      <c r="GI6" s="121"/>
      <c r="GJ6" s="121"/>
      <c r="GK6" s="598"/>
      <c r="GL6" s="603"/>
      <c r="GM6" s="121"/>
      <c r="GN6" s="121"/>
      <c r="GO6" s="598"/>
      <c r="GP6" s="603"/>
      <c r="GQ6" s="121"/>
      <c r="GR6" s="121"/>
      <c r="GS6" s="598"/>
      <c r="GT6" s="603"/>
      <c r="GU6" s="121"/>
      <c r="GV6" s="121"/>
      <c r="GW6" s="598"/>
      <c r="GX6" s="603"/>
      <c r="GY6" s="121"/>
      <c r="GZ6" s="121"/>
      <c r="HA6" s="598"/>
      <c r="HB6" s="603"/>
      <c r="HC6" s="121"/>
      <c r="HD6" s="121"/>
      <c r="HE6" s="598"/>
      <c r="HF6" s="603"/>
      <c r="HG6" s="121"/>
      <c r="HH6" s="121"/>
      <c r="HI6" s="598"/>
      <c r="HJ6" s="603"/>
      <c r="HK6" s="121"/>
      <c r="HL6" s="121"/>
      <c r="HM6" s="598"/>
      <c r="HN6" s="603"/>
      <c r="HO6" s="121"/>
      <c r="HP6" s="121"/>
      <c r="HQ6" s="598"/>
      <c r="HR6" s="603"/>
      <c r="HS6" s="121"/>
      <c r="HT6" s="121"/>
      <c r="HU6" s="598"/>
      <c r="HV6" s="603"/>
      <c r="HW6" s="121"/>
      <c r="HX6" s="121"/>
      <c r="HY6" s="598"/>
      <c r="HZ6" s="603"/>
      <c r="IA6" s="121"/>
      <c r="IB6" s="121"/>
      <c r="IC6" s="598"/>
      <c r="ID6" s="603"/>
      <c r="IE6" s="121"/>
      <c r="IF6" s="121"/>
      <c r="IG6" s="598"/>
      <c r="IH6" s="603"/>
      <c r="II6" s="121"/>
      <c r="IJ6" s="121"/>
      <c r="IK6" s="598"/>
      <c r="IL6" s="603"/>
      <c r="IM6" s="121"/>
      <c r="IN6" s="121"/>
      <c r="IO6" s="598"/>
      <c r="IP6" s="603"/>
      <c r="IQ6" s="121"/>
      <c r="IR6" s="121"/>
      <c r="IS6" s="598"/>
      <c r="IT6" s="603"/>
      <c r="IU6" s="121"/>
      <c r="IV6" s="121"/>
      <c r="IW6" s="598"/>
      <c r="IX6" s="603"/>
      <c r="IY6" s="121"/>
      <c r="IZ6" s="121"/>
      <c r="JA6" s="598"/>
      <c r="JB6" s="603"/>
      <c r="JC6" s="121"/>
      <c r="JD6" s="121"/>
      <c r="JE6" s="598"/>
      <c r="JF6" s="603"/>
      <c r="JG6" s="121"/>
      <c r="JH6" s="121"/>
      <c r="JI6" s="598"/>
      <c r="JJ6" s="603"/>
      <c r="JK6" s="121"/>
      <c r="JL6" s="121"/>
      <c r="JM6" s="598"/>
      <c r="JN6" s="603"/>
      <c r="JO6" s="121"/>
      <c r="JP6" s="121"/>
      <c r="JQ6" s="598"/>
      <c r="JR6" s="603"/>
      <c r="JS6" s="121"/>
      <c r="JT6" s="121"/>
      <c r="JU6" s="598"/>
      <c r="JV6" s="603"/>
      <c r="JW6" s="121"/>
      <c r="JX6" s="121"/>
      <c r="JY6" s="598"/>
      <c r="JZ6" s="603"/>
      <c r="KA6" s="121"/>
      <c r="KB6" s="121"/>
      <c r="KC6" s="598"/>
      <c r="KD6" s="603"/>
      <c r="KE6" s="121"/>
      <c r="KF6" s="121"/>
      <c r="KG6" s="598"/>
    </row>
    <row r="7" spans="1:293" ht="15" customHeight="1" x14ac:dyDescent="0.3">
      <c r="A7" s="616"/>
      <c r="B7" s="603"/>
      <c r="C7" s="121"/>
      <c r="D7" s="121"/>
      <c r="E7" s="598"/>
      <c r="F7" s="603"/>
      <c r="G7" s="121"/>
      <c r="H7" s="121"/>
      <c r="I7" s="598"/>
      <c r="J7" s="603"/>
      <c r="K7" s="121"/>
      <c r="L7" s="121"/>
      <c r="M7" s="598"/>
      <c r="N7" s="603"/>
      <c r="O7" s="121"/>
      <c r="P7" s="121"/>
      <c r="Q7" s="598"/>
      <c r="R7" s="603"/>
      <c r="S7" s="121"/>
      <c r="T7" s="121"/>
      <c r="U7" s="598"/>
      <c r="V7" s="603"/>
      <c r="W7" s="121"/>
      <c r="X7" s="121"/>
      <c r="Y7" s="598"/>
      <c r="Z7" s="603"/>
      <c r="AA7" s="121"/>
      <c r="AB7" s="121"/>
      <c r="AC7" s="598"/>
      <c r="AD7" s="603"/>
      <c r="AE7" s="121"/>
      <c r="AF7" s="121"/>
      <c r="AG7" s="598"/>
      <c r="AH7" s="603"/>
      <c r="AI7" s="121"/>
      <c r="AJ7" s="121"/>
      <c r="AK7" s="598"/>
      <c r="AL7" s="603"/>
      <c r="AM7" s="121"/>
      <c r="AN7" s="121"/>
      <c r="AO7" s="598"/>
      <c r="AP7" s="603"/>
      <c r="AQ7" s="121"/>
      <c r="AR7" s="121"/>
      <c r="AS7" s="598"/>
      <c r="AT7" s="603"/>
      <c r="AU7" s="121"/>
      <c r="AV7" s="121"/>
      <c r="AW7" s="598"/>
      <c r="AX7" s="603"/>
      <c r="AY7" s="121"/>
      <c r="AZ7" s="121"/>
      <c r="BA7" s="598"/>
      <c r="BB7" s="603"/>
      <c r="BC7" s="121"/>
      <c r="BD7" s="121"/>
      <c r="BE7" s="598"/>
      <c r="BF7" s="603"/>
      <c r="BG7" s="121"/>
      <c r="BH7" s="121"/>
      <c r="BI7" s="598"/>
      <c r="BJ7" s="603"/>
      <c r="BK7" s="121"/>
      <c r="BL7" s="121"/>
      <c r="BM7" s="598"/>
      <c r="BN7" s="603"/>
      <c r="BO7" s="121"/>
      <c r="BP7" s="121"/>
      <c r="BQ7" s="598"/>
      <c r="BR7" s="603"/>
      <c r="BS7" s="121"/>
      <c r="BT7" s="121"/>
      <c r="BU7" s="598"/>
      <c r="BV7" s="603"/>
      <c r="BW7" s="121"/>
      <c r="BX7" s="121"/>
      <c r="BY7" s="598"/>
      <c r="BZ7" s="603"/>
      <c r="CA7" s="121"/>
      <c r="CB7" s="121"/>
      <c r="CC7" s="598"/>
      <c r="CD7" s="603"/>
      <c r="CE7" s="121"/>
      <c r="CF7" s="121"/>
      <c r="CG7" s="598"/>
      <c r="CH7" s="603"/>
      <c r="CI7" s="121"/>
      <c r="CJ7" s="121"/>
      <c r="CK7" s="598"/>
      <c r="CL7" s="603"/>
      <c r="CM7" s="121"/>
      <c r="CN7" s="121"/>
      <c r="CO7" s="598"/>
      <c r="CP7" s="603"/>
      <c r="CQ7" s="121"/>
      <c r="CR7" s="121"/>
      <c r="CS7" s="598"/>
      <c r="CT7" s="603"/>
      <c r="CU7" s="121"/>
      <c r="CV7" s="121"/>
      <c r="CW7" s="598"/>
      <c r="CX7" s="603"/>
      <c r="CY7" s="121"/>
      <c r="CZ7" s="121"/>
      <c r="DA7" s="598"/>
      <c r="DB7" s="603"/>
      <c r="DC7" s="121"/>
      <c r="DD7" s="121"/>
      <c r="DE7" s="598"/>
      <c r="DF7" s="603"/>
      <c r="DG7" s="121"/>
      <c r="DH7" s="121"/>
      <c r="DI7" s="598"/>
      <c r="DJ7" s="603"/>
      <c r="DK7" s="121"/>
      <c r="DL7" s="121"/>
      <c r="DM7" s="598"/>
      <c r="DN7" s="603"/>
      <c r="DO7" s="121"/>
      <c r="DP7" s="121"/>
      <c r="DQ7" s="598"/>
      <c r="DR7" s="603"/>
      <c r="DS7" s="121"/>
      <c r="DT7" s="121"/>
      <c r="DU7" s="598"/>
      <c r="DV7" s="603"/>
      <c r="DW7" s="121"/>
      <c r="DX7" s="121"/>
      <c r="DY7" s="598"/>
      <c r="DZ7" s="603"/>
      <c r="EA7" s="121"/>
      <c r="EB7" s="121"/>
      <c r="EC7" s="598"/>
      <c r="ED7" s="603"/>
      <c r="EE7" s="121"/>
      <c r="EF7" s="121"/>
      <c r="EG7" s="598"/>
      <c r="EH7" s="603"/>
      <c r="EI7" s="121"/>
      <c r="EJ7" s="121"/>
      <c r="EK7" s="598"/>
      <c r="EL7" s="603"/>
      <c r="EM7" s="121"/>
      <c r="EN7" s="121"/>
      <c r="EO7" s="598"/>
      <c r="EP7" s="603"/>
      <c r="EQ7" s="121"/>
      <c r="ER7" s="121"/>
      <c r="ES7" s="598"/>
      <c r="ET7" s="603"/>
      <c r="EU7" s="121"/>
      <c r="EV7" s="121"/>
      <c r="EW7" s="598"/>
      <c r="EX7" s="603"/>
      <c r="EY7" s="121"/>
      <c r="EZ7" s="121"/>
      <c r="FA7" s="598"/>
      <c r="FB7" s="603"/>
      <c r="FC7" s="121"/>
      <c r="FD7" s="121"/>
      <c r="FE7" s="598"/>
      <c r="FF7" s="603"/>
      <c r="FG7" s="121"/>
      <c r="FH7" s="121"/>
      <c r="FI7" s="598"/>
      <c r="FJ7" s="603"/>
      <c r="FK7" s="121"/>
      <c r="FL7" s="121"/>
      <c r="FM7" s="598"/>
      <c r="FN7" s="603"/>
      <c r="FO7" s="121"/>
      <c r="FP7" s="121"/>
      <c r="FQ7" s="598"/>
      <c r="FR7" s="603"/>
      <c r="FS7" s="121"/>
      <c r="FT7" s="121"/>
      <c r="FU7" s="598"/>
      <c r="FV7" s="603"/>
      <c r="FW7" s="121"/>
      <c r="FX7" s="121"/>
      <c r="FY7" s="598"/>
      <c r="FZ7" s="603"/>
      <c r="GA7" s="121"/>
      <c r="GB7" s="121"/>
      <c r="GC7" s="598"/>
      <c r="GD7" s="603"/>
      <c r="GE7" s="121"/>
      <c r="GF7" s="121"/>
      <c r="GG7" s="598"/>
      <c r="GH7" s="603"/>
      <c r="GI7" s="121"/>
      <c r="GJ7" s="121"/>
      <c r="GK7" s="598"/>
      <c r="GL7" s="603"/>
      <c r="GM7" s="121"/>
      <c r="GN7" s="121"/>
      <c r="GO7" s="598"/>
      <c r="GP7" s="603"/>
      <c r="GQ7" s="121"/>
      <c r="GR7" s="121"/>
      <c r="GS7" s="598"/>
      <c r="GT7" s="603"/>
      <c r="GU7" s="121"/>
      <c r="GV7" s="121"/>
      <c r="GW7" s="598"/>
      <c r="GX7" s="603"/>
      <c r="GY7" s="121"/>
      <c r="GZ7" s="121"/>
      <c r="HA7" s="598"/>
      <c r="HB7" s="603"/>
      <c r="HC7" s="121"/>
      <c r="HD7" s="121"/>
      <c r="HE7" s="598"/>
      <c r="HF7" s="603"/>
      <c r="HG7" s="121"/>
      <c r="HH7" s="121"/>
      <c r="HI7" s="598"/>
      <c r="HJ7" s="603"/>
      <c r="HK7" s="121"/>
      <c r="HL7" s="121"/>
      <c r="HM7" s="598"/>
      <c r="HN7" s="603"/>
      <c r="HO7" s="121"/>
      <c r="HP7" s="121"/>
      <c r="HQ7" s="598"/>
      <c r="HR7" s="603"/>
      <c r="HS7" s="121"/>
      <c r="HT7" s="121"/>
      <c r="HU7" s="598"/>
      <c r="HV7" s="603"/>
      <c r="HW7" s="121"/>
      <c r="HX7" s="121"/>
      <c r="HY7" s="598"/>
      <c r="HZ7" s="603"/>
      <c r="IA7" s="121"/>
      <c r="IB7" s="121"/>
      <c r="IC7" s="598"/>
      <c r="ID7" s="603"/>
      <c r="IE7" s="121"/>
      <c r="IF7" s="121"/>
      <c r="IG7" s="598"/>
      <c r="IH7" s="603"/>
      <c r="II7" s="121"/>
      <c r="IJ7" s="121"/>
      <c r="IK7" s="598"/>
      <c r="IL7" s="603"/>
      <c r="IM7" s="121"/>
      <c r="IN7" s="121"/>
      <c r="IO7" s="598"/>
      <c r="IP7" s="603"/>
      <c r="IQ7" s="121"/>
      <c r="IR7" s="121"/>
      <c r="IS7" s="598"/>
      <c r="IT7" s="603"/>
      <c r="IU7" s="121"/>
      <c r="IV7" s="121"/>
      <c r="IW7" s="598"/>
      <c r="IX7" s="603"/>
      <c r="IY7" s="121"/>
      <c r="IZ7" s="121"/>
      <c r="JA7" s="598"/>
      <c r="JB7" s="603"/>
      <c r="JC7" s="121"/>
      <c r="JD7" s="121"/>
      <c r="JE7" s="598"/>
      <c r="JF7" s="603"/>
      <c r="JG7" s="121"/>
      <c r="JH7" s="121"/>
      <c r="JI7" s="598"/>
      <c r="JJ7" s="603"/>
      <c r="JK7" s="121"/>
      <c r="JL7" s="121"/>
      <c r="JM7" s="598"/>
      <c r="JN7" s="603"/>
      <c r="JO7" s="121"/>
      <c r="JP7" s="121"/>
      <c r="JQ7" s="598"/>
      <c r="JR7" s="603"/>
      <c r="JS7" s="121"/>
      <c r="JT7" s="121"/>
      <c r="JU7" s="598"/>
      <c r="JV7" s="603"/>
      <c r="JW7" s="121"/>
      <c r="JX7" s="121"/>
      <c r="JY7" s="598"/>
      <c r="JZ7" s="603"/>
      <c r="KA7" s="121"/>
      <c r="KB7" s="121"/>
      <c r="KC7" s="598"/>
      <c r="KD7" s="603"/>
      <c r="KE7" s="121"/>
      <c r="KF7" s="121"/>
      <c r="KG7" s="598"/>
    </row>
    <row r="8" spans="1:293" ht="19.5" customHeight="1" x14ac:dyDescent="0.3">
      <c r="A8" s="600" t="s">
        <v>535</v>
      </c>
      <c r="B8" s="613">
        <v>9660.2999999999993</v>
      </c>
      <c r="C8" s="352">
        <v>3785.2</v>
      </c>
      <c r="D8" s="352">
        <v>761.9</v>
      </c>
      <c r="E8" s="612">
        <v>14207.4</v>
      </c>
      <c r="F8" s="613">
        <v>8641.9</v>
      </c>
      <c r="G8" s="352">
        <v>3841</v>
      </c>
      <c r="H8" s="352">
        <v>669.3</v>
      </c>
      <c r="I8" s="612">
        <v>13152.199999999999</v>
      </c>
      <c r="J8" s="613">
        <v>8309.7999999999993</v>
      </c>
      <c r="K8" s="352">
        <v>3932.9</v>
      </c>
      <c r="L8" s="352">
        <v>519.70000000000005</v>
      </c>
      <c r="M8" s="612">
        <v>12762.4</v>
      </c>
      <c r="N8" s="613">
        <v>8472.5</v>
      </c>
      <c r="O8" s="352">
        <v>4277.5</v>
      </c>
      <c r="P8" s="352">
        <v>733.3</v>
      </c>
      <c r="Q8" s="612">
        <v>13483.3</v>
      </c>
      <c r="R8" s="367">
        <v>7712</v>
      </c>
      <c r="S8" s="132">
        <v>5427</v>
      </c>
      <c r="T8" s="132">
        <v>940</v>
      </c>
      <c r="U8" s="612">
        <v>14079</v>
      </c>
      <c r="V8" s="367">
        <v>8498</v>
      </c>
      <c r="W8" s="132">
        <v>9073</v>
      </c>
      <c r="X8" s="132">
        <v>916</v>
      </c>
      <c r="Y8" s="612">
        <v>18487</v>
      </c>
      <c r="Z8" s="367">
        <v>8355</v>
      </c>
      <c r="AA8" s="132">
        <v>13005</v>
      </c>
      <c r="AB8" s="132">
        <v>901</v>
      </c>
      <c r="AC8" s="612">
        <v>22261</v>
      </c>
      <c r="AD8" s="367">
        <v>8027</v>
      </c>
      <c r="AE8" s="132">
        <v>12610</v>
      </c>
      <c r="AF8" s="132">
        <v>980</v>
      </c>
      <c r="AG8" s="612">
        <v>21617</v>
      </c>
      <c r="AH8" s="367">
        <v>7874</v>
      </c>
      <c r="AI8" s="132">
        <v>12123</v>
      </c>
      <c r="AJ8" s="132">
        <v>1019</v>
      </c>
      <c r="AK8" s="612">
        <v>21016</v>
      </c>
      <c r="AL8" s="367">
        <v>7961</v>
      </c>
      <c r="AM8" s="132">
        <v>12285</v>
      </c>
      <c r="AN8" s="132">
        <v>1171</v>
      </c>
      <c r="AO8" s="612">
        <v>21417</v>
      </c>
      <c r="AP8" s="367">
        <v>8100</v>
      </c>
      <c r="AQ8" s="132">
        <v>15094</v>
      </c>
      <c r="AR8" s="132">
        <v>1129</v>
      </c>
      <c r="AS8" s="612">
        <v>24323</v>
      </c>
      <c r="AT8" s="367">
        <v>7984</v>
      </c>
      <c r="AU8" s="132">
        <v>17662</v>
      </c>
      <c r="AV8" s="132">
        <v>1145</v>
      </c>
      <c r="AW8" s="612">
        <v>26791</v>
      </c>
      <c r="AX8" s="367">
        <v>7854</v>
      </c>
      <c r="AY8" s="132">
        <v>20411</v>
      </c>
      <c r="AZ8" s="132">
        <v>1071</v>
      </c>
      <c r="BA8" s="612">
        <v>29336</v>
      </c>
      <c r="BB8" s="367">
        <v>8119</v>
      </c>
      <c r="BC8" s="132">
        <v>20548</v>
      </c>
      <c r="BD8" s="132">
        <v>1088</v>
      </c>
      <c r="BE8" s="612">
        <v>29755</v>
      </c>
      <c r="BF8" s="367">
        <v>8176</v>
      </c>
      <c r="BG8" s="132">
        <v>21679</v>
      </c>
      <c r="BH8" s="132">
        <v>1080</v>
      </c>
      <c r="BI8" s="612">
        <v>30935</v>
      </c>
      <c r="BJ8" s="367">
        <v>8125</v>
      </c>
      <c r="BK8" s="132">
        <v>22089</v>
      </c>
      <c r="BL8" s="132">
        <v>1137</v>
      </c>
      <c r="BM8" s="612">
        <v>31351</v>
      </c>
      <c r="BN8" s="613">
        <v>8183</v>
      </c>
      <c r="BO8" s="352">
        <v>22016</v>
      </c>
      <c r="BP8" s="352">
        <v>1105</v>
      </c>
      <c r="BQ8" s="612">
        <v>31304</v>
      </c>
      <c r="BR8" s="613">
        <v>8719</v>
      </c>
      <c r="BS8" s="352">
        <v>24248</v>
      </c>
      <c r="BT8" s="352">
        <v>1317</v>
      </c>
      <c r="BU8" s="612">
        <v>34284</v>
      </c>
      <c r="BV8" s="613">
        <v>9280</v>
      </c>
      <c r="BW8" s="352">
        <v>24732</v>
      </c>
      <c r="BX8" s="352">
        <v>1270</v>
      </c>
      <c r="BY8" s="612">
        <v>35282</v>
      </c>
      <c r="BZ8" s="613">
        <v>9970</v>
      </c>
      <c r="CA8" s="352">
        <v>24697</v>
      </c>
      <c r="CB8" s="352">
        <v>1280</v>
      </c>
      <c r="CC8" s="612">
        <v>35947</v>
      </c>
      <c r="CD8" s="613">
        <v>10932</v>
      </c>
      <c r="CE8" s="352">
        <v>25130</v>
      </c>
      <c r="CF8" s="352">
        <v>1297</v>
      </c>
      <c r="CG8" s="612">
        <v>37359</v>
      </c>
      <c r="CH8" s="613">
        <v>12206</v>
      </c>
      <c r="CI8" s="352">
        <v>28886</v>
      </c>
      <c r="CJ8" s="352">
        <v>1438</v>
      </c>
      <c r="CK8" s="612">
        <v>42530</v>
      </c>
      <c r="CL8" s="613">
        <v>12987</v>
      </c>
      <c r="CM8" s="352">
        <v>31199</v>
      </c>
      <c r="CN8" s="352">
        <v>1447</v>
      </c>
      <c r="CO8" s="612">
        <v>45633</v>
      </c>
      <c r="CP8" s="613">
        <v>13494</v>
      </c>
      <c r="CQ8" s="352">
        <v>32234</v>
      </c>
      <c r="CR8" s="352">
        <v>1434</v>
      </c>
      <c r="CS8" s="612">
        <v>47162</v>
      </c>
      <c r="CT8" s="613">
        <v>13054</v>
      </c>
      <c r="CU8" s="352">
        <v>34330</v>
      </c>
      <c r="CV8" s="352">
        <v>1380</v>
      </c>
      <c r="CW8" s="612">
        <v>48764</v>
      </c>
      <c r="CX8" s="613">
        <v>13319</v>
      </c>
      <c r="CY8" s="352">
        <v>36751</v>
      </c>
      <c r="CZ8" s="352">
        <v>1386</v>
      </c>
      <c r="DA8" s="612">
        <v>51456</v>
      </c>
      <c r="DB8" s="613">
        <v>13353</v>
      </c>
      <c r="DC8" s="352">
        <v>36545</v>
      </c>
      <c r="DD8" s="352">
        <v>1403</v>
      </c>
      <c r="DE8" s="612">
        <v>51301</v>
      </c>
      <c r="DF8" s="613">
        <v>12580</v>
      </c>
      <c r="DG8" s="352">
        <v>37464</v>
      </c>
      <c r="DH8" s="352">
        <v>1385</v>
      </c>
      <c r="DI8" s="612">
        <v>51429</v>
      </c>
      <c r="DJ8" s="613">
        <v>13948</v>
      </c>
      <c r="DK8" s="352">
        <v>40494</v>
      </c>
      <c r="DL8" s="352">
        <v>1562</v>
      </c>
      <c r="DM8" s="612">
        <v>56004</v>
      </c>
      <c r="DN8" s="613">
        <v>13723</v>
      </c>
      <c r="DO8" s="352">
        <v>39480</v>
      </c>
      <c r="DP8" s="352">
        <v>1508</v>
      </c>
      <c r="DQ8" s="612">
        <v>54711</v>
      </c>
      <c r="DR8" s="613">
        <v>15638</v>
      </c>
      <c r="DS8" s="352">
        <v>37272</v>
      </c>
      <c r="DT8" s="352">
        <v>1642</v>
      </c>
      <c r="DU8" s="612">
        <v>54552</v>
      </c>
      <c r="DV8" s="613">
        <v>16111</v>
      </c>
      <c r="DW8" s="352">
        <v>36938</v>
      </c>
      <c r="DX8" s="352">
        <v>1627</v>
      </c>
      <c r="DY8" s="612">
        <v>54676</v>
      </c>
      <c r="DZ8" s="613">
        <v>16084</v>
      </c>
      <c r="EA8" s="352">
        <v>36430</v>
      </c>
      <c r="EB8" s="352">
        <v>1510</v>
      </c>
      <c r="EC8" s="612">
        <v>54024</v>
      </c>
      <c r="ED8" s="620">
        <v>17054</v>
      </c>
      <c r="EE8" s="619">
        <v>34929</v>
      </c>
      <c r="EF8" s="352">
        <v>1481</v>
      </c>
      <c r="EG8" s="612">
        <v>53464</v>
      </c>
      <c r="EH8" s="620">
        <v>16388</v>
      </c>
      <c r="EI8" s="619">
        <v>35259</v>
      </c>
      <c r="EJ8" s="352">
        <v>1457</v>
      </c>
      <c r="EK8" s="612">
        <v>53104</v>
      </c>
      <c r="EL8" s="620">
        <v>15510</v>
      </c>
      <c r="EM8" s="619">
        <v>35075</v>
      </c>
      <c r="EN8" s="352">
        <v>1052</v>
      </c>
      <c r="EO8" s="612">
        <v>51637</v>
      </c>
      <c r="EP8" s="622">
        <v>15854</v>
      </c>
      <c r="EQ8" s="621">
        <v>29302</v>
      </c>
      <c r="ER8" s="352">
        <v>947</v>
      </c>
      <c r="ES8" s="612">
        <v>46103</v>
      </c>
      <c r="ET8" s="622">
        <v>16573</v>
      </c>
      <c r="EU8" s="621">
        <v>28718</v>
      </c>
      <c r="EV8" s="352">
        <v>940</v>
      </c>
      <c r="EW8" s="612">
        <v>46231</v>
      </c>
      <c r="EX8" s="622">
        <v>15828.7</v>
      </c>
      <c r="EY8" s="621">
        <v>28260</v>
      </c>
      <c r="EZ8" s="352">
        <v>926</v>
      </c>
      <c r="FA8" s="612">
        <v>45014.7</v>
      </c>
      <c r="FB8" s="622">
        <v>16780</v>
      </c>
      <c r="FC8" s="621">
        <v>27418</v>
      </c>
      <c r="FD8" s="621">
        <v>930</v>
      </c>
      <c r="FE8" s="612">
        <v>45128</v>
      </c>
      <c r="FF8" s="622">
        <v>16911</v>
      </c>
      <c r="FG8" s="621">
        <v>26730</v>
      </c>
      <c r="FH8" s="621">
        <v>903</v>
      </c>
      <c r="FI8" s="612">
        <v>44544</v>
      </c>
      <c r="FJ8" s="622">
        <v>16799</v>
      </c>
      <c r="FK8" s="621">
        <v>26844</v>
      </c>
      <c r="FL8" s="621">
        <v>895</v>
      </c>
      <c r="FM8" s="612">
        <v>44538</v>
      </c>
      <c r="FN8" s="622">
        <v>15562</v>
      </c>
      <c r="FO8" s="621">
        <v>25721</v>
      </c>
      <c r="FP8" s="621">
        <v>795</v>
      </c>
      <c r="FQ8" s="612">
        <v>42078</v>
      </c>
      <c r="FR8" s="622">
        <v>15226</v>
      </c>
      <c r="FS8" s="621">
        <v>25400</v>
      </c>
      <c r="FT8" s="621">
        <v>788</v>
      </c>
      <c r="FU8" s="612">
        <v>41414</v>
      </c>
      <c r="FV8" s="622">
        <v>14688</v>
      </c>
      <c r="FW8" s="621">
        <v>24805</v>
      </c>
      <c r="FX8" s="621">
        <v>763</v>
      </c>
      <c r="FY8" s="612">
        <v>40256</v>
      </c>
      <c r="FZ8" s="622">
        <v>14682</v>
      </c>
      <c r="GA8" s="621">
        <v>25219</v>
      </c>
      <c r="GB8" s="621">
        <v>357</v>
      </c>
      <c r="GC8" s="612">
        <v>40258</v>
      </c>
      <c r="GD8" s="622">
        <v>14222</v>
      </c>
      <c r="GE8" s="621">
        <v>24639</v>
      </c>
      <c r="GF8" s="621">
        <v>342</v>
      </c>
      <c r="GG8" s="612">
        <v>39203</v>
      </c>
      <c r="GH8" s="622">
        <v>14320</v>
      </c>
      <c r="GI8" s="621">
        <v>24929.4</v>
      </c>
      <c r="GJ8" s="621">
        <v>343</v>
      </c>
      <c r="GK8" s="612">
        <v>39592.400000000001</v>
      </c>
      <c r="GL8" s="622">
        <v>14599.1</v>
      </c>
      <c r="GM8" s="621">
        <v>18689.8</v>
      </c>
      <c r="GN8" s="621">
        <v>332.7</v>
      </c>
      <c r="GO8" s="612">
        <v>33621.599999999999</v>
      </c>
      <c r="GP8" s="622">
        <v>14811.5</v>
      </c>
      <c r="GQ8" s="621">
        <v>27671.7</v>
      </c>
      <c r="GR8" s="621">
        <v>1205</v>
      </c>
      <c r="GS8" s="612">
        <v>43688.2</v>
      </c>
      <c r="GT8" s="622">
        <v>29942.899999999998</v>
      </c>
      <c r="GU8" s="621">
        <v>27787.3</v>
      </c>
      <c r="GV8" s="621">
        <v>1226</v>
      </c>
      <c r="GW8" s="612">
        <v>58956.2</v>
      </c>
      <c r="GX8" s="622">
        <v>30412.85</v>
      </c>
      <c r="GY8" s="621">
        <v>28118</v>
      </c>
      <c r="GZ8" s="621">
        <v>1256</v>
      </c>
      <c r="HA8" s="612">
        <v>59786.85</v>
      </c>
      <c r="HB8" s="622">
        <v>41724.1</v>
      </c>
      <c r="HC8" s="621">
        <v>27299</v>
      </c>
      <c r="HD8" s="621">
        <v>1069</v>
      </c>
      <c r="HE8" s="612">
        <v>70092.100000000006</v>
      </c>
      <c r="HF8" s="622">
        <v>42066.400000000001</v>
      </c>
      <c r="HG8" s="621">
        <v>28738</v>
      </c>
      <c r="HH8" s="621">
        <v>1136</v>
      </c>
      <c r="HI8" s="612">
        <v>71940.399999999994</v>
      </c>
      <c r="HJ8" s="622">
        <v>40559.4</v>
      </c>
      <c r="HK8" s="621">
        <v>35952.800000000003</v>
      </c>
      <c r="HL8" s="621">
        <v>1123</v>
      </c>
      <c r="HM8" s="612">
        <v>77635.200000000012</v>
      </c>
      <c r="HN8" s="622">
        <v>40041.75</v>
      </c>
      <c r="HO8" s="621">
        <v>35818.1</v>
      </c>
      <c r="HP8" s="621">
        <v>1155</v>
      </c>
      <c r="HQ8" s="612">
        <v>77014.850000000006</v>
      </c>
      <c r="HR8" s="622">
        <v>39549.85</v>
      </c>
      <c r="HS8" s="621">
        <v>35542.400000000001</v>
      </c>
      <c r="HT8" s="621">
        <v>1170</v>
      </c>
      <c r="HU8" s="623">
        <v>76262.25</v>
      </c>
      <c r="HV8" s="622">
        <v>37748.9</v>
      </c>
      <c r="HW8" s="621">
        <v>34293.199999999997</v>
      </c>
      <c r="HX8" s="621">
        <v>1130</v>
      </c>
      <c r="HY8" s="612">
        <v>73172.100000000006</v>
      </c>
      <c r="HZ8" s="622">
        <v>34335.5</v>
      </c>
      <c r="IA8" s="621">
        <v>32013</v>
      </c>
      <c r="IB8" s="621">
        <v>1047</v>
      </c>
      <c r="IC8" s="612">
        <v>67395.5</v>
      </c>
      <c r="ID8" s="622">
        <v>36749.15</v>
      </c>
      <c r="IE8" s="621">
        <v>43992</v>
      </c>
      <c r="IF8" s="621">
        <v>1047</v>
      </c>
      <c r="IG8" s="612">
        <v>81788.149999999994</v>
      </c>
      <c r="IH8" s="622">
        <v>38610</v>
      </c>
      <c r="II8" s="621">
        <v>46167</v>
      </c>
      <c r="IJ8" s="621">
        <v>1066</v>
      </c>
      <c r="IK8" s="612">
        <v>85843</v>
      </c>
      <c r="IL8" s="622">
        <v>37205</v>
      </c>
      <c r="IM8" s="621">
        <v>45661</v>
      </c>
      <c r="IN8" s="621">
        <v>1008</v>
      </c>
      <c r="IO8" s="612">
        <v>83874</v>
      </c>
      <c r="IP8" s="622">
        <v>35253.649999999994</v>
      </c>
      <c r="IQ8" s="621">
        <v>43296</v>
      </c>
      <c r="IR8" s="621">
        <v>968.6</v>
      </c>
      <c r="IS8" s="612">
        <v>79518.25</v>
      </c>
      <c r="IT8" s="622">
        <v>36147</v>
      </c>
      <c r="IU8" s="621">
        <v>46811</v>
      </c>
      <c r="IV8" s="621">
        <v>989</v>
      </c>
      <c r="IW8" s="612">
        <v>83947</v>
      </c>
      <c r="IX8" s="622">
        <v>36531</v>
      </c>
      <c r="IY8" s="621">
        <v>48036</v>
      </c>
      <c r="IZ8" s="621">
        <v>983</v>
      </c>
      <c r="JA8" s="612">
        <v>85550</v>
      </c>
      <c r="JB8" s="622">
        <v>35930</v>
      </c>
      <c r="JC8" s="621">
        <v>48534</v>
      </c>
      <c r="JD8" s="621">
        <v>996</v>
      </c>
      <c r="JE8" s="612">
        <v>85460</v>
      </c>
      <c r="JF8" s="622">
        <v>37009</v>
      </c>
      <c r="JG8" s="621">
        <v>59016</v>
      </c>
      <c r="JH8" s="621">
        <v>995</v>
      </c>
      <c r="JI8" s="612">
        <v>97020</v>
      </c>
      <c r="JJ8" s="620">
        <v>33404</v>
      </c>
      <c r="JK8" s="619">
        <v>62412</v>
      </c>
      <c r="JL8" s="619">
        <v>917.28</v>
      </c>
      <c r="JM8" s="612">
        <v>96733.28</v>
      </c>
      <c r="JN8" s="620">
        <v>34119</v>
      </c>
      <c r="JO8" s="619">
        <v>59602</v>
      </c>
      <c r="JP8" s="619">
        <v>829</v>
      </c>
      <c r="JQ8" s="612">
        <v>94550</v>
      </c>
      <c r="JR8" s="620">
        <v>35573</v>
      </c>
      <c r="JS8" s="619">
        <v>60677</v>
      </c>
      <c r="JT8" s="619">
        <v>878</v>
      </c>
      <c r="JU8" s="612">
        <v>97128</v>
      </c>
      <c r="JV8" s="620">
        <v>35220</v>
      </c>
      <c r="JW8" s="619">
        <v>60882</v>
      </c>
      <c r="JX8" s="619">
        <v>891</v>
      </c>
      <c r="JY8" s="612">
        <v>96993</v>
      </c>
      <c r="JZ8" s="620">
        <v>34787</v>
      </c>
      <c r="KA8" s="619">
        <v>63132</v>
      </c>
      <c r="KB8" s="619">
        <v>907</v>
      </c>
      <c r="KC8" s="612">
        <v>98826</v>
      </c>
      <c r="KD8" s="620">
        <v>35036</v>
      </c>
      <c r="KE8" s="619">
        <v>62936</v>
      </c>
      <c r="KF8" s="619">
        <v>829</v>
      </c>
      <c r="KG8" s="612">
        <v>98801</v>
      </c>
    </row>
    <row r="9" spans="1:293" ht="19.5" customHeight="1" x14ac:dyDescent="0.3">
      <c r="A9" s="600" t="s">
        <v>491</v>
      </c>
      <c r="B9" s="393">
        <v>67.994847755395071</v>
      </c>
      <c r="C9" s="599">
        <v>26.642453932457734</v>
      </c>
      <c r="D9" s="599">
        <v>5.3626983121471916</v>
      </c>
      <c r="E9" s="590"/>
      <c r="F9" s="393">
        <v>65.706877936771036</v>
      </c>
      <c r="G9" s="599">
        <v>29.204239594896674</v>
      </c>
      <c r="H9" s="599">
        <v>5.0888824683322946</v>
      </c>
      <c r="I9" s="590"/>
      <c r="J9" s="393">
        <v>65.111577759669032</v>
      </c>
      <c r="K9" s="599">
        <v>30.816304143421302</v>
      </c>
      <c r="L9" s="599">
        <v>4.0721180969096729</v>
      </c>
      <c r="M9" s="590"/>
      <c r="N9" s="393">
        <v>62.836990944353388</v>
      </c>
      <c r="O9" s="599">
        <v>31.72442947943011</v>
      </c>
      <c r="P9" s="599">
        <v>5.4385795762165046</v>
      </c>
      <c r="Q9" s="590"/>
      <c r="R9" s="393">
        <v>54.776617657504076</v>
      </c>
      <c r="S9" s="599">
        <v>38.546771787769018</v>
      </c>
      <c r="T9" s="599">
        <v>6.6766105547268983</v>
      </c>
      <c r="U9" s="597"/>
      <c r="V9" s="393">
        <v>45.967436577054144</v>
      </c>
      <c r="W9" s="599">
        <v>49.077730296965434</v>
      </c>
      <c r="X9" s="599">
        <v>4.9548331259804188</v>
      </c>
      <c r="Y9" s="597"/>
      <c r="Z9" s="393">
        <v>37.53200664839855</v>
      </c>
      <c r="AA9" s="599">
        <v>58.420556129553923</v>
      </c>
      <c r="AB9" s="599">
        <v>4.0474372220475274</v>
      </c>
      <c r="AC9" s="597"/>
      <c r="AD9" s="393">
        <v>37.132812138594623</v>
      </c>
      <c r="AE9" s="599">
        <v>58.333718832400429</v>
      </c>
      <c r="AF9" s="599">
        <v>4.5334690290049497</v>
      </c>
      <c r="AG9" s="597"/>
      <c r="AH9" s="393">
        <v>37.466692044156837</v>
      </c>
      <c r="AI9" s="599">
        <v>57.684621240959267</v>
      </c>
      <c r="AJ9" s="599">
        <v>4.8486867148838977</v>
      </c>
      <c r="AK9" s="597"/>
      <c r="AL9" s="393">
        <v>37.171405892515288</v>
      </c>
      <c r="AM9" s="599">
        <v>57.360974926460287</v>
      </c>
      <c r="AN9" s="599">
        <v>5.4676191810244195</v>
      </c>
      <c r="AO9" s="597"/>
      <c r="AP9" s="393">
        <v>33.301813098713154</v>
      </c>
      <c r="AQ9" s="599">
        <v>62.056489742219298</v>
      </c>
      <c r="AR9" s="599">
        <v>4.6416971590675491</v>
      </c>
      <c r="AS9" s="597"/>
      <c r="AT9" s="393">
        <v>29.801052592288457</v>
      </c>
      <c r="AU9" s="599">
        <v>65.925124108842525</v>
      </c>
      <c r="AV9" s="599">
        <v>4.2738232988690239</v>
      </c>
      <c r="AW9" s="597"/>
      <c r="AX9" s="393">
        <v>26.772566130351787</v>
      </c>
      <c r="AY9" s="599">
        <v>69.576629397327522</v>
      </c>
      <c r="AZ9" s="599">
        <v>3.6508044723206985</v>
      </c>
      <c r="BA9" s="597"/>
      <c r="BB9" s="393">
        <v>27.286170391530835</v>
      </c>
      <c r="BC9" s="599">
        <v>69.057301293900181</v>
      </c>
      <c r="BD9" s="599">
        <v>3.6565283145689795</v>
      </c>
      <c r="BE9" s="597"/>
      <c r="BF9" s="393">
        <v>26.429610473573621</v>
      </c>
      <c r="BG9" s="599">
        <v>70.07919831905609</v>
      </c>
      <c r="BH9" s="599">
        <v>3.4911912073702922</v>
      </c>
      <c r="BI9" s="597"/>
      <c r="BJ9" s="393">
        <v>25.916238716468378</v>
      </c>
      <c r="BK9" s="599">
        <v>70.457082708685519</v>
      </c>
      <c r="BL9" s="599">
        <v>3.6266785748460975</v>
      </c>
      <c r="BM9" s="597"/>
      <c r="BN9" s="393">
        <v>26.140429338103754</v>
      </c>
      <c r="BO9" s="599">
        <v>70.329670329670336</v>
      </c>
      <c r="BP9" s="599">
        <v>3.5299003322259139</v>
      </c>
      <c r="BQ9" s="598"/>
      <c r="BR9" s="393">
        <v>25.431688251079223</v>
      </c>
      <c r="BS9" s="599">
        <v>70.726869676817174</v>
      </c>
      <c r="BT9" s="599">
        <v>3.8414420721036056</v>
      </c>
      <c r="BU9" s="598"/>
      <c r="BV9" s="393">
        <v>26.302363811575308</v>
      </c>
      <c r="BW9" s="599">
        <v>70.09806700300436</v>
      </c>
      <c r="BX9" s="599">
        <v>3.5995691854203273</v>
      </c>
      <c r="BY9" s="598"/>
      <c r="BZ9" s="393">
        <v>27.735276935488358</v>
      </c>
      <c r="CA9" s="599">
        <v>68.703925223245335</v>
      </c>
      <c r="CB9" s="599">
        <v>3.560797841266309</v>
      </c>
      <c r="CC9" s="598"/>
      <c r="CD9" s="393">
        <v>29.262025214807675</v>
      </c>
      <c r="CE9" s="599">
        <v>67.266254450065574</v>
      </c>
      <c r="CF9" s="599">
        <v>3.4717203351267436</v>
      </c>
      <c r="CG9" s="598"/>
      <c r="CH9" s="393">
        <v>28.699741359040676</v>
      </c>
      <c r="CI9" s="599">
        <v>67.919115918175407</v>
      </c>
      <c r="CJ9" s="599">
        <v>3.3811427227839168</v>
      </c>
      <c r="CK9" s="598"/>
      <c r="CL9" s="392">
        <v>28.459667345999605</v>
      </c>
      <c r="CM9" s="599">
        <v>68.369381807025619</v>
      </c>
      <c r="CN9" s="599">
        <v>3.1709508469747774</v>
      </c>
      <c r="CO9" s="598"/>
      <c r="CP9" s="392">
        <v>28.612018150205675</v>
      </c>
      <c r="CQ9" s="599">
        <v>68.347398329163312</v>
      </c>
      <c r="CR9" s="599">
        <v>3.0405835206310168</v>
      </c>
      <c r="CS9" s="598"/>
      <c r="CT9" s="392">
        <v>26.769748174883112</v>
      </c>
      <c r="CU9" s="599">
        <v>70.400295299811333</v>
      </c>
      <c r="CV9" s="599">
        <v>2.8299565253055534</v>
      </c>
      <c r="CW9" s="598"/>
      <c r="CX9" s="392">
        <v>25.884250621890548</v>
      </c>
      <c r="CY9" s="599">
        <v>71.422185945273625</v>
      </c>
      <c r="CZ9" s="599">
        <v>2.6935634328358207</v>
      </c>
      <c r="DA9" s="598"/>
      <c r="DB9" s="392">
        <v>26.028732383384341</v>
      </c>
      <c r="DC9" s="599">
        <v>71.236428139802342</v>
      </c>
      <c r="DD9" s="599">
        <v>2.7348394768133173</v>
      </c>
      <c r="DE9" s="598"/>
      <c r="DF9" s="393">
        <v>24.460907270217191</v>
      </c>
      <c r="DG9" s="599">
        <v>72.846059616169867</v>
      </c>
      <c r="DH9" s="340">
        <v>2.6930331136129424</v>
      </c>
      <c r="DI9" s="598"/>
      <c r="DJ9" s="393">
        <v>24.905363902578387</v>
      </c>
      <c r="DK9" s="599">
        <v>72.305549603599744</v>
      </c>
      <c r="DL9" s="340">
        <v>2.7890864938218698</v>
      </c>
      <c r="DM9" s="598"/>
      <c r="DN9" s="393">
        <v>25.082707316627367</v>
      </c>
      <c r="DO9" s="599">
        <v>72.160991391127922</v>
      </c>
      <c r="DP9" s="340">
        <v>2.7563012922447041</v>
      </c>
      <c r="DQ9" s="598"/>
      <c r="DR9" s="393">
        <v>28.66622671946033</v>
      </c>
      <c r="DS9" s="599">
        <v>68.323801143862738</v>
      </c>
      <c r="DT9" s="340">
        <v>3.0099721366769323</v>
      </c>
      <c r="DU9" s="598"/>
      <c r="DV9" s="393">
        <v>29.466310629892455</v>
      </c>
      <c r="DW9" s="599">
        <v>67.557977906211136</v>
      </c>
      <c r="DX9" s="340">
        <v>2.9757114638964079</v>
      </c>
      <c r="DY9" s="598"/>
      <c r="DZ9" s="393">
        <v>29.771953205982527</v>
      </c>
      <c r="EA9" s="599">
        <v>67.432992743965642</v>
      </c>
      <c r="EB9" s="340">
        <v>2.7950540500518288</v>
      </c>
      <c r="EC9" s="598"/>
      <c r="ED9" s="393">
        <v>31.898099655843183</v>
      </c>
      <c r="EE9" s="599">
        <v>65.331812060451881</v>
      </c>
      <c r="EF9" s="340">
        <v>2.770088283704923</v>
      </c>
      <c r="EG9" s="598"/>
      <c r="EH9" s="393">
        <v>30.860198855076831</v>
      </c>
      <c r="EI9" s="599">
        <v>66.396128351913234</v>
      </c>
      <c r="EJ9" s="340">
        <v>2.7436727930099427</v>
      </c>
      <c r="EK9" s="598"/>
      <c r="EL9" s="393">
        <v>30.036601661599239</v>
      </c>
      <c r="EM9" s="599">
        <v>67.926099502294875</v>
      </c>
      <c r="EN9" s="340">
        <v>2.0372988361058932</v>
      </c>
      <c r="EO9" s="598"/>
      <c r="EP9" s="393">
        <v>34.388217686484609</v>
      </c>
      <c r="EQ9" s="599">
        <v>63.557686050799298</v>
      </c>
      <c r="ER9" s="599">
        <v>2.0540962627160924</v>
      </c>
      <c r="ES9" s="598"/>
      <c r="ET9" s="393">
        <v>35.848240358201203</v>
      </c>
      <c r="EU9" s="599">
        <v>62.118491921005379</v>
      </c>
      <c r="EV9" s="599">
        <v>2.0332677207934071</v>
      </c>
      <c r="EW9" s="598"/>
      <c r="EX9" s="393">
        <v>35.163402177510903</v>
      </c>
      <c r="EY9" s="599">
        <v>62.77949203260269</v>
      </c>
      <c r="EZ9" s="599">
        <v>2.0571057898864149</v>
      </c>
      <c r="FA9" s="598"/>
      <c r="FB9" s="393">
        <v>37.183123559652543</v>
      </c>
      <c r="FC9" s="599">
        <v>60.756071618507356</v>
      </c>
      <c r="FD9" s="599">
        <v>2.0608048218400992</v>
      </c>
      <c r="FE9" s="598"/>
      <c r="FF9" s="393">
        <v>37.964709051724135</v>
      </c>
      <c r="FG9" s="599">
        <v>60.008081896551722</v>
      </c>
      <c r="FH9" s="599">
        <v>2.0272090517241379</v>
      </c>
      <c r="FI9" s="598"/>
      <c r="FJ9" s="393">
        <v>37.718352867214513</v>
      </c>
      <c r="FK9" s="599">
        <v>60.272127172302305</v>
      </c>
      <c r="FL9" s="599">
        <v>2.0095199604831828</v>
      </c>
      <c r="FM9" s="598"/>
      <c r="FN9" s="393">
        <v>36.983696943771093</v>
      </c>
      <c r="FO9" s="599">
        <v>61.126954703170298</v>
      </c>
      <c r="FP9" s="599">
        <v>1.8893483530586053</v>
      </c>
      <c r="FQ9" s="598"/>
      <c r="FR9" s="393">
        <v>36.765345052397741</v>
      </c>
      <c r="FS9" s="599">
        <v>61.331916743130343</v>
      </c>
      <c r="FT9" s="599">
        <v>1.9027382044719179</v>
      </c>
      <c r="FU9" s="598"/>
      <c r="FV9" s="393">
        <v>36.486486486486484</v>
      </c>
      <c r="FW9" s="599">
        <v>61.618143879173296</v>
      </c>
      <c r="FX9" s="599">
        <v>1.8953696343402227</v>
      </c>
      <c r="FY9" s="598"/>
      <c r="FZ9" s="393">
        <v>36.469769983605744</v>
      </c>
      <c r="GA9" s="599">
        <v>62.643449749118183</v>
      </c>
      <c r="GB9" s="599">
        <v>0.8867802672760694</v>
      </c>
      <c r="GC9" s="598"/>
      <c r="GD9" s="393">
        <v>36.277835879907151</v>
      </c>
      <c r="GE9" s="599">
        <v>62.84978190444609</v>
      </c>
      <c r="GF9" s="599">
        <v>0.87238221564676177</v>
      </c>
      <c r="GG9" s="598"/>
      <c r="GH9" s="393">
        <v>36.168557601964011</v>
      </c>
      <c r="GI9" s="599">
        <v>62.965114516927493</v>
      </c>
      <c r="GJ9" s="599">
        <v>0.86632788110849557</v>
      </c>
      <c r="GK9" s="598"/>
      <c r="GL9" s="393">
        <v>43.421788374140434</v>
      </c>
      <c r="GM9" s="599">
        <v>55.588669188854787</v>
      </c>
      <c r="GN9" s="599">
        <v>0.98954243700478273</v>
      </c>
      <c r="GO9" s="598"/>
      <c r="GP9" s="393">
        <v>33.902747194894737</v>
      </c>
      <c r="GQ9" s="599">
        <v>63.339070961953112</v>
      </c>
      <c r="GR9" s="599">
        <v>2.7581818431521556</v>
      </c>
      <c r="GS9" s="598"/>
      <c r="GT9" s="393">
        <v>50.788381883499959</v>
      </c>
      <c r="GU9" s="599">
        <v>47.132108243068579</v>
      </c>
      <c r="GV9" s="599">
        <v>2.079509873431463</v>
      </c>
      <c r="GW9" s="598"/>
      <c r="GX9" s="393">
        <v>50.868794726599575</v>
      </c>
      <c r="GY9" s="599">
        <v>47.03040886081137</v>
      </c>
      <c r="GZ9" s="599">
        <v>2.1007964125890557</v>
      </c>
      <c r="HA9" s="598"/>
      <c r="HB9" s="393">
        <v>59.52753591346243</v>
      </c>
      <c r="HC9" s="599">
        <v>38.947327872898654</v>
      </c>
      <c r="HD9" s="599">
        <v>1.5251362136389122</v>
      </c>
      <c r="HE9" s="598"/>
      <c r="HF9" s="393">
        <v>58.47395899939395</v>
      </c>
      <c r="HG9" s="599">
        <v>39.946956091431247</v>
      </c>
      <c r="HH9" s="599">
        <v>1.5790849091748171</v>
      </c>
      <c r="HI9" s="598"/>
      <c r="HJ9" s="393">
        <v>52.243569927043396</v>
      </c>
      <c r="HK9" s="599">
        <v>46.309921272824695</v>
      </c>
      <c r="HL9" s="599">
        <v>1.4465088001318986</v>
      </c>
      <c r="HM9" s="598"/>
      <c r="HN9" s="393">
        <v>51.992245651325689</v>
      </c>
      <c r="HO9" s="599">
        <v>46.508043578608536</v>
      </c>
      <c r="HP9" s="599">
        <v>1.4997107700657728</v>
      </c>
      <c r="HQ9" s="598"/>
      <c r="HR9" s="393">
        <v>51.860324079082375</v>
      </c>
      <c r="HS9" s="599">
        <v>46.605496166189695</v>
      </c>
      <c r="HT9" s="599">
        <v>1.534179754727929</v>
      </c>
      <c r="HU9" s="598"/>
      <c r="HV9" s="393">
        <v>51.589198615319219</v>
      </c>
      <c r="HW9" s="599">
        <v>46.866496929840743</v>
      </c>
      <c r="HX9" s="599">
        <v>1.5443044548400278</v>
      </c>
      <c r="HY9" s="598"/>
      <c r="HZ9" s="393">
        <v>50.94627979612882</v>
      </c>
      <c r="IA9" s="599">
        <v>47.5002040195562</v>
      </c>
      <c r="IB9" s="599">
        <v>1.5535161843149765</v>
      </c>
      <c r="IC9" s="598"/>
      <c r="ID9" s="393">
        <v>44.93212036217961</v>
      </c>
      <c r="IE9" s="599">
        <v>53.78774308992196</v>
      </c>
      <c r="IF9" s="599">
        <v>1.2801365478984426</v>
      </c>
      <c r="IG9" s="598"/>
      <c r="IH9" s="393">
        <v>44.977458849294642</v>
      </c>
      <c r="II9" s="599">
        <v>53.780739256549751</v>
      </c>
      <c r="IJ9" s="599">
        <v>1.2418018941556097</v>
      </c>
      <c r="IK9" s="598"/>
      <c r="IL9" s="393">
        <v>44.358203972625603</v>
      </c>
      <c r="IM9" s="599">
        <v>54.439993323318312</v>
      </c>
      <c r="IN9" s="599">
        <v>1.2018027040560841</v>
      </c>
      <c r="IO9" s="598"/>
      <c r="IP9" s="393">
        <v>44.334036526206241</v>
      </c>
      <c r="IQ9" s="599">
        <v>54.447878317241639</v>
      </c>
      <c r="IR9" s="599">
        <v>1.2180851565521122</v>
      </c>
      <c r="IS9" s="598"/>
      <c r="IT9" s="393">
        <v>43.059311232086912</v>
      </c>
      <c r="IU9" s="599">
        <v>55.762564475204591</v>
      </c>
      <c r="IV9" s="599">
        <v>1.1781242927084945</v>
      </c>
      <c r="IW9" s="598"/>
      <c r="IX9" s="393">
        <v>42.701344243132674</v>
      </c>
      <c r="IY9" s="599">
        <v>56.149620105201635</v>
      </c>
      <c r="IZ9" s="599">
        <v>1.1490356516656925</v>
      </c>
      <c r="JA9" s="598"/>
      <c r="JB9" s="393">
        <v>42.043061081207583</v>
      </c>
      <c r="JC9" s="599">
        <v>56.791481394804592</v>
      </c>
      <c r="JD9" s="599">
        <v>1.1654575239878304</v>
      </c>
      <c r="JE9" s="598"/>
      <c r="JF9" s="393">
        <v>38.145743145743147</v>
      </c>
      <c r="JG9" s="599">
        <v>60.828695114409406</v>
      </c>
      <c r="JH9" s="599">
        <v>1.0255617398474541</v>
      </c>
      <c r="JI9" s="598"/>
      <c r="JJ9" s="393">
        <v>34.53206590327548</v>
      </c>
      <c r="JK9" s="599">
        <v>64.519677198995012</v>
      </c>
      <c r="JL9" s="599">
        <v>0.94825689772950938</v>
      </c>
      <c r="JM9" s="598"/>
      <c r="JN9" s="393">
        <v>36.08566895822316</v>
      </c>
      <c r="JO9" s="599">
        <v>63.037546271813859</v>
      </c>
      <c r="JP9" s="599">
        <v>0.87678476996298249</v>
      </c>
      <c r="JQ9" s="598"/>
      <c r="JR9" s="393">
        <v>36.62486615600033</v>
      </c>
      <c r="JS9" s="599">
        <v>62.471172061609423</v>
      </c>
      <c r="JT9" s="599">
        <v>0.90396178239024794</v>
      </c>
      <c r="JU9" s="598"/>
      <c r="JV9" s="393">
        <v>36.311898796820394</v>
      </c>
      <c r="JW9" s="599">
        <v>62.769478209767712</v>
      </c>
      <c r="JX9" s="599">
        <v>0.91862299341189568</v>
      </c>
      <c r="JY9" s="598"/>
      <c r="JZ9" s="393">
        <v>35.200250946107296</v>
      </c>
      <c r="KA9" s="599">
        <v>63.881974379211947</v>
      </c>
      <c r="KB9" s="599">
        <v>0.91777467468075213</v>
      </c>
      <c r="KC9" s="598"/>
      <c r="KD9" s="393">
        <v>35.461179542717183</v>
      </c>
      <c r="KE9" s="599">
        <v>63.699760123885383</v>
      </c>
      <c r="KF9" s="599">
        <v>0.83906033339743535</v>
      </c>
      <c r="KG9" s="598"/>
    </row>
    <row r="10" spans="1:293" x14ac:dyDescent="0.3">
      <c r="A10" s="618"/>
      <c r="B10" s="603"/>
      <c r="C10" s="121"/>
      <c r="D10" s="121"/>
      <c r="E10" s="597"/>
      <c r="F10" s="603"/>
      <c r="G10" s="121"/>
      <c r="H10" s="121"/>
      <c r="I10" s="597"/>
      <c r="J10" s="603"/>
      <c r="K10" s="121"/>
      <c r="L10" s="121"/>
      <c r="M10" s="597"/>
      <c r="N10" s="603"/>
      <c r="O10" s="121"/>
      <c r="P10" s="121"/>
      <c r="Q10" s="597"/>
      <c r="R10" s="603"/>
      <c r="S10" s="121"/>
      <c r="T10" s="121"/>
      <c r="U10" s="597"/>
      <c r="V10" s="603"/>
      <c r="W10" s="121"/>
      <c r="X10" s="121"/>
      <c r="Y10" s="597"/>
      <c r="Z10" s="603"/>
      <c r="AA10" s="121"/>
      <c r="AB10" s="121"/>
      <c r="AC10" s="597"/>
      <c r="AD10" s="603"/>
      <c r="AE10" s="121"/>
      <c r="AF10" s="121"/>
      <c r="AG10" s="597"/>
      <c r="AH10" s="603"/>
      <c r="AI10" s="121"/>
      <c r="AJ10" s="121"/>
      <c r="AK10" s="597"/>
      <c r="AL10" s="603"/>
      <c r="AM10" s="121"/>
      <c r="AN10" s="121"/>
      <c r="AO10" s="597"/>
      <c r="AP10" s="603"/>
      <c r="AQ10" s="121"/>
      <c r="AR10" s="121"/>
      <c r="AS10" s="597"/>
      <c r="AT10" s="603"/>
      <c r="AU10" s="121"/>
      <c r="AV10" s="121"/>
      <c r="AW10" s="597"/>
      <c r="AX10" s="603"/>
      <c r="AY10" s="121"/>
      <c r="AZ10" s="121"/>
      <c r="BA10" s="597"/>
      <c r="BB10" s="603"/>
      <c r="BC10" s="121"/>
      <c r="BD10" s="121"/>
      <c r="BE10" s="597"/>
      <c r="BF10" s="603"/>
      <c r="BG10" s="121"/>
      <c r="BH10" s="121"/>
      <c r="BI10" s="597"/>
      <c r="BJ10" s="603"/>
      <c r="BK10" s="121"/>
      <c r="BL10" s="121"/>
      <c r="BM10" s="597"/>
      <c r="BN10" s="603"/>
      <c r="BO10" s="121"/>
      <c r="BP10" s="121"/>
      <c r="BQ10" s="598"/>
      <c r="BR10" s="603"/>
      <c r="BS10" s="121"/>
      <c r="BT10" s="121"/>
      <c r="BU10" s="598"/>
      <c r="BV10" s="603"/>
      <c r="BW10" s="121"/>
      <c r="BX10" s="121"/>
      <c r="BY10" s="598"/>
      <c r="BZ10" s="603"/>
      <c r="CA10" s="121"/>
      <c r="CB10" s="121"/>
      <c r="CC10" s="598"/>
      <c r="CD10" s="603"/>
      <c r="CE10" s="121"/>
      <c r="CF10" s="121"/>
      <c r="CG10" s="598"/>
      <c r="CH10" s="603"/>
      <c r="CI10" s="121"/>
      <c r="CJ10" s="121"/>
      <c r="CK10" s="598"/>
      <c r="CL10" s="603"/>
      <c r="CM10" s="121"/>
      <c r="CN10" s="121"/>
      <c r="CO10" s="598"/>
      <c r="CP10" s="603"/>
      <c r="CQ10" s="121"/>
      <c r="CR10" s="121"/>
      <c r="CS10" s="598"/>
      <c r="CT10" s="603"/>
      <c r="CU10" s="121"/>
      <c r="CV10" s="121"/>
      <c r="CW10" s="598"/>
      <c r="CX10" s="603"/>
      <c r="CY10" s="121"/>
      <c r="CZ10" s="121"/>
      <c r="DA10" s="598"/>
      <c r="DB10" s="603"/>
      <c r="DC10" s="121"/>
      <c r="DD10" s="121"/>
      <c r="DE10" s="598"/>
      <c r="DF10" s="603"/>
      <c r="DG10" s="121"/>
      <c r="DH10" s="121"/>
      <c r="DI10" s="598"/>
      <c r="DJ10" s="603"/>
      <c r="DK10" s="121"/>
      <c r="DL10" s="121"/>
      <c r="DM10" s="598"/>
      <c r="DN10" s="603"/>
      <c r="DO10" s="121"/>
      <c r="DP10" s="121"/>
      <c r="DQ10" s="598"/>
      <c r="DR10" s="603"/>
      <c r="DS10" s="121"/>
      <c r="DT10" s="121"/>
      <c r="DU10" s="598"/>
      <c r="DV10" s="603"/>
      <c r="DW10" s="121"/>
      <c r="DX10" s="121"/>
      <c r="DY10" s="598"/>
      <c r="DZ10" s="603"/>
      <c r="EA10" s="121"/>
      <c r="EB10" s="121"/>
      <c r="EC10" s="598"/>
      <c r="ED10" s="603"/>
      <c r="EE10" s="121"/>
      <c r="EF10" s="121"/>
      <c r="EG10" s="598"/>
      <c r="EH10" s="603"/>
      <c r="EI10" s="121"/>
      <c r="EJ10" s="121"/>
      <c r="EK10" s="598"/>
      <c r="EL10" s="603"/>
      <c r="EM10" s="121"/>
      <c r="EN10" s="121"/>
      <c r="EO10" s="598"/>
      <c r="EP10" s="603"/>
      <c r="EQ10" s="121"/>
      <c r="ER10" s="121"/>
      <c r="ES10" s="598"/>
      <c r="ET10" s="603"/>
      <c r="EU10" s="121"/>
      <c r="EV10" s="121"/>
      <c r="EW10" s="598"/>
      <c r="EX10" s="603"/>
      <c r="EY10" s="121"/>
      <c r="EZ10" s="121"/>
      <c r="FA10" s="598"/>
      <c r="FB10" s="603"/>
      <c r="FC10" s="121"/>
      <c r="FD10" s="121"/>
      <c r="FE10" s="598"/>
      <c r="FF10" s="603"/>
      <c r="FG10" s="121"/>
      <c r="FH10" s="121"/>
      <c r="FI10" s="598"/>
      <c r="FJ10" s="603"/>
      <c r="FK10" s="121"/>
      <c r="FL10" s="121"/>
      <c r="FM10" s="598"/>
      <c r="FN10" s="603"/>
      <c r="FO10" s="121"/>
      <c r="FP10" s="121"/>
      <c r="FQ10" s="598"/>
      <c r="FR10" s="603"/>
      <c r="FS10" s="121"/>
      <c r="FT10" s="121"/>
      <c r="FU10" s="598"/>
      <c r="FV10" s="603"/>
      <c r="FW10" s="121"/>
      <c r="FX10" s="121"/>
      <c r="FY10" s="598"/>
      <c r="FZ10" s="603"/>
      <c r="GA10" s="121"/>
      <c r="GB10" s="121"/>
      <c r="GC10" s="598"/>
      <c r="GD10" s="603"/>
      <c r="GE10" s="121"/>
      <c r="GF10" s="121"/>
      <c r="GG10" s="598"/>
      <c r="GH10" s="603"/>
      <c r="GI10" s="121"/>
      <c r="GJ10" s="121"/>
      <c r="GK10" s="598"/>
      <c r="GL10" s="603"/>
      <c r="GM10" s="121"/>
      <c r="GN10" s="121"/>
      <c r="GO10" s="598"/>
      <c r="GP10" s="603"/>
      <c r="GQ10" s="121"/>
      <c r="GR10" s="121"/>
      <c r="GS10" s="598"/>
      <c r="GT10" s="603"/>
      <c r="GU10" s="121"/>
      <c r="GV10" s="121"/>
      <c r="GW10" s="598"/>
      <c r="GX10" s="603"/>
      <c r="GY10" s="121"/>
      <c r="GZ10" s="121"/>
      <c r="HA10" s="598"/>
      <c r="HB10" s="603"/>
      <c r="HC10" s="121"/>
      <c r="HD10" s="121"/>
      <c r="HE10" s="598"/>
      <c r="HF10" s="603"/>
      <c r="HG10" s="121"/>
      <c r="HH10" s="121"/>
      <c r="HI10" s="598"/>
      <c r="HJ10" s="603"/>
      <c r="HK10" s="121"/>
      <c r="HL10" s="121"/>
      <c r="HM10" s="598"/>
      <c r="HN10" s="603"/>
      <c r="HO10" s="121"/>
      <c r="HP10" s="121"/>
      <c r="HQ10" s="598"/>
      <c r="HR10" s="603"/>
      <c r="HS10" s="121"/>
      <c r="HT10" s="121"/>
      <c r="HU10" s="598"/>
      <c r="HV10" s="603"/>
      <c r="HW10" s="121"/>
      <c r="HX10" s="121"/>
      <c r="HY10" s="598"/>
      <c r="HZ10" s="603"/>
      <c r="IA10" s="121"/>
      <c r="IB10" s="121"/>
      <c r="IC10" s="598"/>
      <c r="ID10" s="603"/>
      <c r="IE10" s="121"/>
      <c r="IF10" s="121"/>
      <c r="IG10" s="598"/>
      <c r="IH10" s="603"/>
      <c r="II10" s="121"/>
      <c r="IJ10" s="121"/>
      <c r="IK10" s="598"/>
      <c r="IL10" s="603"/>
      <c r="IM10" s="121"/>
      <c r="IN10" s="121"/>
      <c r="IO10" s="598"/>
      <c r="IP10" s="603"/>
      <c r="IQ10" s="121"/>
      <c r="IR10" s="121"/>
      <c r="IS10" s="598"/>
      <c r="IT10" s="603"/>
      <c r="IU10" s="121"/>
      <c r="IV10" s="121"/>
      <c r="IW10" s="598"/>
      <c r="IX10" s="603"/>
      <c r="IY10" s="121"/>
      <c r="IZ10" s="121"/>
      <c r="JA10" s="598"/>
      <c r="JB10" s="603"/>
      <c r="JC10" s="121"/>
      <c r="JD10" s="121"/>
      <c r="JE10" s="598"/>
      <c r="JF10" s="603"/>
      <c r="JG10" s="121"/>
      <c r="JH10" s="121"/>
      <c r="JI10" s="598"/>
      <c r="JJ10" s="603"/>
      <c r="JK10" s="121"/>
      <c r="JL10" s="121"/>
      <c r="JM10" s="598"/>
      <c r="JN10" s="603"/>
      <c r="JO10" s="121"/>
      <c r="JP10" s="121"/>
      <c r="JQ10" s="598"/>
      <c r="JR10" s="603"/>
      <c r="JS10" s="121"/>
      <c r="JT10" s="121"/>
      <c r="JU10" s="598"/>
      <c r="JV10" s="603"/>
      <c r="JW10" s="121"/>
      <c r="JX10" s="121"/>
      <c r="JY10" s="598"/>
      <c r="JZ10" s="603"/>
      <c r="KA10" s="121"/>
      <c r="KB10" s="121"/>
      <c r="KC10" s="598"/>
      <c r="KD10" s="603"/>
      <c r="KE10" s="121"/>
      <c r="KF10" s="121"/>
      <c r="KG10" s="598"/>
    </row>
    <row r="11" spans="1:293" x14ac:dyDescent="0.3">
      <c r="A11" s="618"/>
      <c r="B11" s="603"/>
      <c r="C11" s="121"/>
      <c r="D11" s="121"/>
      <c r="E11" s="597"/>
      <c r="F11" s="603"/>
      <c r="G11" s="121"/>
      <c r="H11" s="121"/>
      <c r="I11" s="597"/>
      <c r="J11" s="603"/>
      <c r="K11" s="121"/>
      <c r="L11" s="121"/>
      <c r="M11" s="597"/>
      <c r="N11" s="603"/>
      <c r="O11" s="121"/>
      <c r="P11" s="121"/>
      <c r="Q11" s="597"/>
      <c r="R11" s="603"/>
      <c r="S11" s="121"/>
      <c r="T11" s="121"/>
      <c r="U11" s="597"/>
      <c r="V11" s="603"/>
      <c r="W11" s="121"/>
      <c r="X11" s="121"/>
      <c r="Y11" s="597"/>
      <c r="Z11" s="603"/>
      <c r="AA11" s="121"/>
      <c r="AB11" s="121"/>
      <c r="AC11" s="597"/>
      <c r="AD11" s="603"/>
      <c r="AE11" s="121"/>
      <c r="AF11" s="121"/>
      <c r="AG11" s="597"/>
      <c r="AH11" s="603"/>
      <c r="AI11" s="121"/>
      <c r="AJ11" s="121"/>
      <c r="AK11" s="597"/>
      <c r="AL11" s="603"/>
      <c r="AM11" s="121"/>
      <c r="AN11" s="121"/>
      <c r="AO11" s="597"/>
      <c r="AP11" s="603"/>
      <c r="AQ11" s="121"/>
      <c r="AR11" s="121"/>
      <c r="AS11" s="597"/>
      <c r="AT11" s="603"/>
      <c r="AU11" s="121"/>
      <c r="AV11" s="121"/>
      <c r="AW11" s="597"/>
      <c r="AX11" s="603"/>
      <c r="AY11" s="121"/>
      <c r="AZ11" s="121"/>
      <c r="BA11" s="597"/>
      <c r="BB11" s="603"/>
      <c r="BC11" s="121"/>
      <c r="BD11" s="121"/>
      <c r="BE11" s="597"/>
      <c r="BF11" s="603"/>
      <c r="BG11" s="121"/>
      <c r="BH11" s="121"/>
      <c r="BI11" s="597"/>
      <c r="BJ11" s="603"/>
      <c r="BK11" s="121"/>
      <c r="BL11" s="121"/>
      <c r="BM11" s="597"/>
      <c r="BN11" s="603"/>
      <c r="BO11" s="121"/>
      <c r="BP11" s="121"/>
      <c r="BQ11" s="598"/>
      <c r="BR11" s="603"/>
      <c r="BS11" s="121"/>
      <c r="BT11" s="121"/>
      <c r="BU11" s="598"/>
      <c r="BV11" s="603"/>
      <c r="BW11" s="121"/>
      <c r="BX11" s="121"/>
      <c r="BY11" s="598"/>
      <c r="BZ11" s="603"/>
      <c r="CA11" s="121"/>
      <c r="CB11" s="121"/>
      <c r="CC11" s="598"/>
      <c r="CD11" s="603"/>
      <c r="CE11" s="121"/>
      <c r="CF11" s="121"/>
      <c r="CG11" s="598"/>
      <c r="CH11" s="603"/>
      <c r="CI11" s="121"/>
      <c r="CJ11" s="121"/>
      <c r="CK11" s="598"/>
      <c r="CL11" s="603"/>
      <c r="CM11" s="121"/>
      <c r="CN11" s="121"/>
      <c r="CO11" s="598"/>
      <c r="CP11" s="603"/>
      <c r="CQ11" s="121"/>
      <c r="CR11" s="121"/>
      <c r="CS11" s="598"/>
      <c r="CT11" s="603"/>
      <c r="CU11" s="121"/>
      <c r="CV11" s="121"/>
      <c r="CW11" s="598"/>
      <c r="CX11" s="603"/>
      <c r="CY11" s="121"/>
      <c r="CZ11" s="121"/>
      <c r="DA11" s="598"/>
      <c r="DB11" s="603"/>
      <c r="DC11" s="121"/>
      <c r="DD11" s="121"/>
      <c r="DE11" s="598"/>
      <c r="DF11" s="613"/>
      <c r="DG11" s="352"/>
      <c r="DH11" s="352"/>
      <c r="DI11" s="612"/>
      <c r="DJ11" s="613"/>
      <c r="DK11" s="352"/>
      <c r="DL11" s="352"/>
      <c r="DM11" s="612"/>
      <c r="DN11" s="613"/>
      <c r="DO11" s="352"/>
      <c r="DP11" s="352"/>
      <c r="DQ11" s="612"/>
      <c r="DR11" s="613"/>
      <c r="DS11" s="352"/>
      <c r="DT11" s="352"/>
      <c r="DU11" s="612"/>
      <c r="DV11" s="613"/>
      <c r="DW11" s="352"/>
      <c r="DX11" s="352"/>
      <c r="DY11" s="612"/>
      <c r="DZ11" s="613"/>
      <c r="EA11" s="352"/>
      <c r="EB11" s="352"/>
      <c r="EC11" s="612"/>
      <c r="ED11" s="613"/>
      <c r="EE11" s="352"/>
      <c r="EF11" s="352"/>
      <c r="EG11" s="612"/>
      <c r="EH11" s="613"/>
      <c r="EI11" s="352"/>
      <c r="EJ11" s="352"/>
      <c r="EK11" s="612"/>
      <c r="EL11" s="613"/>
      <c r="EM11" s="352"/>
      <c r="EN11" s="352"/>
      <c r="EO11" s="612"/>
      <c r="EP11" s="613"/>
      <c r="EQ11" s="352"/>
      <c r="ER11" s="352"/>
      <c r="ES11" s="612"/>
      <c r="ET11" s="613"/>
      <c r="EU11" s="352"/>
      <c r="EV11" s="352"/>
      <c r="EW11" s="612"/>
      <c r="EX11" s="613"/>
      <c r="EY11" s="352"/>
      <c r="EZ11" s="352"/>
      <c r="FA11" s="612"/>
      <c r="FB11" s="613"/>
      <c r="FC11" s="352"/>
      <c r="FD11" s="352"/>
      <c r="FE11" s="612"/>
      <c r="FF11" s="613"/>
      <c r="FG11" s="352"/>
      <c r="FH11" s="352"/>
      <c r="FI11" s="612"/>
      <c r="FJ11" s="613"/>
      <c r="FK11" s="352"/>
      <c r="FL11" s="352"/>
      <c r="FM11" s="612"/>
      <c r="FN11" s="613"/>
      <c r="FO11" s="352"/>
      <c r="FP11" s="352"/>
      <c r="FQ11" s="612"/>
      <c r="FR11" s="613"/>
      <c r="FS11" s="352"/>
      <c r="FT11" s="352"/>
      <c r="FU11" s="612"/>
      <c r="FV11" s="613"/>
      <c r="FW11" s="352"/>
      <c r="FX11" s="352"/>
      <c r="FY11" s="612"/>
      <c r="FZ11" s="613"/>
      <c r="GA11" s="352"/>
      <c r="GB11" s="352"/>
      <c r="GC11" s="612"/>
      <c r="GD11" s="613"/>
      <c r="GE11" s="352"/>
      <c r="GF11" s="352"/>
      <c r="GG11" s="612"/>
      <c r="GH11" s="613"/>
      <c r="GI11" s="352"/>
      <c r="GJ11" s="352"/>
      <c r="GK11" s="612"/>
      <c r="GL11" s="613"/>
      <c r="GM11" s="352"/>
      <c r="GN11" s="352"/>
      <c r="GO11" s="612"/>
      <c r="GP11" s="613"/>
      <c r="GQ11" s="352"/>
      <c r="GR11" s="352"/>
      <c r="GS11" s="612"/>
      <c r="GT11" s="613"/>
      <c r="GU11" s="352"/>
      <c r="GV11" s="352"/>
      <c r="GW11" s="612"/>
      <c r="GX11" s="613"/>
      <c r="GY11" s="352"/>
      <c r="GZ11" s="352"/>
      <c r="HA11" s="612"/>
      <c r="HB11" s="613"/>
      <c r="HC11" s="352"/>
      <c r="HD11" s="352"/>
      <c r="HE11" s="612"/>
      <c r="HF11" s="613"/>
      <c r="HG11" s="352"/>
      <c r="HH11" s="352"/>
      <c r="HI11" s="612"/>
      <c r="HJ11" s="613"/>
      <c r="HK11" s="352"/>
      <c r="HL11" s="352"/>
      <c r="HM11" s="612"/>
      <c r="HN11" s="613"/>
      <c r="HO11" s="352"/>
      <c r="HP11" s="352"/>
      <c r="HQ11" s="612"/>
      <c r="HR11" s="613"/>
      <c r="HS11" s="352"/>
      <c r="HT11" s="352"/>
      <c r="HU11" s="612"/>
      <c r="HV11" s="613"/>
      <c r="HW11" s="352"/>
      <c r="HX11" s="352"/>
      <c r="HY11" s="612"/>
      <c r="HZ11" s="613"/>
      <c r="IA11" s="352"/>
      <c r="IB11" s="352"/>
      <c r="IC11" s="612"/>
      <c r="ID11" s="613"/>
      <c r="IE11" s="352"/>
      <c r="IF11" s="352"/>
      <c r="IG11" s="612"/>
      <c r="IH11" s="613"/>
      <c r="II11" s="352"/>
      <c r="IJ11" s="352"/>
      <c r="IK11" s="612"/>
      <c r="IL11" s="613"/>
      <c r="IM11" s="352"/>
      <c r="IN11" s="352"/>
      <c r="IO11" s="612"/>
      <c r="IP11" s="613"/>
      <c r="IQ11" s="352"/>
      <c r="IR11" s="352"/>
      <c r="IS11" s="612"/>
      <c r="IT11" s="613"/>
      <c r="IU11" s="352"/>
      <c r="IV11" s="352"/>
      <c r="IW11" s="612"/>
      <c r="IX11" s="613"/>
      <c r="IY11" s="352"/>
      <c r="IZ11" s="352"/>
      <c r="JA11" s="612"/>
      <c r="JB11" s="613"/>
      <c r="JC11" s="352"/>
      <c r="JD11" s="352"/>
      <c r="JE11" s="612"/>
      <c r="JF11" s="613"/>
      <c r="JG11" s="352"/>
      <c r="JH11" s="352"/>
      <c r="JI11" s="612"/>
      <c r="JJ11" s="613"/>
      <c r="JK11" s="352"/>
      <c r="JL11" s="352"/>
      <c r="JM11" s="612"/>
      <c r="JN11" s="613"/>
      <c r="JO11" s="352"/>
      <c r="JP11" s="352"/>
      <c r="JQ11" s="612"/>
      <c r="JR11" s="613"/>
      <c r="JS11" s="352"/>
      <c r="JT11" s="352"/>
      <c r="JU11" s="612"/>
      <c r="JV11" s="613"/>
      <c r="JW11" s="352"/>
      <c r="JX11" s="352"/>
      <c r="JY11" s="612"/>
      <c r="JZ11" s="613"/>
      <c r="KA11" s="352"/>
      <c r="KB11" s="352"/>
      <c r="KC11" s="612"/>
      <c r="KD11" s="613"/>
      <c r="KE11" s="352"/>
      <c r="KF11" s="352"/>
      <c r="KG11" s="612"/>
    </row>
    <row r="12" spans="1:293" x14ac:dyDescent="0.3">
      <c r="A12" s="616" t="s">
        <v>141</v>
      </c>
      <c r="B12" s="603"/>
      <c r="C12" s="121"/>
      <c r="D12" s="121"/>
      <c r="E12" s="597"/>
      <c r="F12" s="603"/>
      <c r="G12" s="121"/>
      <c r="H12" s="121"/>
      <c r="I12" s="597"/>
      <c r="J12" s="603"/>
      <c r="K12" s="121"/>
      <c r="L12" s="121"/>
      <c r="M12" s="597"/>
      <c r="N12" s="603"/>
      <c r="O12" s="121"/>
      <c r="P12" s="121"/>
      <c r="Q12" s="597"/>
      <c r="R12" s="603"/>
      <c r="S12" s="121"/>
      <c r="T12" s="121"/>
      <c r="U12" s="597"/>
      <c r="V12" s="603"/>
      <c r="W12" s="121"/>
      <c r="X12" s="121"/>
      <c r="Y12" s="597"/>
      <c r="Z12" s="603"/>
      <c r="AA12" s="121"/>
      <c r="AB12" s="121"/>
      <c r="AC12" s="597"/>
      <c r="AD12" s="603"/>
      <c r="AE12" s="121"/>
      <c r="AF12" s="121"/>
      <c r="AG12" s="597"/>
      <c r="AH12" s="603"/>
      <c r="AI12" s="121"/>
      <c r="AJ12" s="121"/>
      <c r="AK12" s="597"/>
      <c r="AL12" s="603"/>
      <c r="AM12" s="121"/>
      <c r="AN12" s="121"/>
      <c r="AO12" s="597"/>
      <c r="AP12" s="603"/>
      <c r="AQ12" s="121"/>
      <c r="AR12" s="121"/>
      <c r="AS12" s="597"/>
      <c r="AT12" s="603"/>
      <c r="AU12" s="121"/>
      <c r="AV12" s="121"/>
      <c r="AW12" s="597"/>
      <c r="AX12" s="603"/>
      <c r="AY12" s="121"/>
      <c r="AZ12" s="121"/>
      <c r="BA12" s="597"/>
      <c r="BB12" s="603"/>
      <c r="BC12" s="121"/>
      <c r="BD12" s="121"/>
      <c r="BE12" s="597"/>
      <c r="BF12" s="603"/>
      <c r="BG12" s="121"/>
      <c r="BH12" s="121"/>
      <c r="BI12" s="597"/>
      <c r="BJ12" s="603"/>
      <c r="BK12" s="121"/>
      <c r="BL12" s="121"/>
      <c r="BM12" s="597"/>
      <c r="BN12" s="603"/>
      <c r="BO12" s="121"/>
      <c r="BP12" s="121"/>
      <c r="BQ12" s="598"/>
      <c r="BR12" s="603"/>
      <c r="BS12" s="121"/>
      <c r="BT12" s="121"/>
      <c r="BU12" s="598"/>
      <c r="BV12" s="603"/>
      <c r="BW12" s="121"/>
      <c r="BX12" s="121"/>
      <c r="BY12" s="598"/>
      <c r="BZ12" s="603"/>
      <c r="CA12" s="121"/>
      <c r="CB12" s="121"/>
      <c r="CC12" s="598"/>
      <c r="CD12" s="603"/>
      <c r="CE12" s="121"/>
      <c r="CF12" s="121"/>
      <c r="CG12" s="598"/>
      <c r="CH12" s="603"/>
      <c r="CI12" s="121"/>
      <c r="CJ12" s="121"/>
      <c r="CK12" s="598"/>
      <c r="CL12" s="603"/>
      <c r="CM12" s="121"/>
      <c r="CN12" s="121"/>
      <c r="CO12" s="598"/>
      <c r="CP12" s="603"/>
      <c r="CQ12" s="121"/>
      <c r="CR12" s="121"/>
      <c r="CS12" s="598"/>
      <c r="CT12" s="603"/>
      <c r="CU12" s="121"/>
      <c r="CV12" s="121"/>
      <c r="CW12" s="598"/>
      <c r="CX12" s="603"/>
      <c r="CY12" s="121"/>
      <c r="CZ12" s="121"/>
      <c r="DA12" s="598"/>
      <c r="DB12" s="603"/>
      <c r="DC12" s="121"/>
      <c r="DD12" s="121"/>
      <c r="DE12" s="598"/>
      <c r="DF12" s="392"/>
      <c r="DG12" s="599"/>
      <c r="DH12" s="599"/>
      <c r="DI12" s="598"/>
      <c r="DJ12" s="392"/>
      <c r="DK12" s="599"/>
      <c r="DL12" s="599"/>
      <c r="DM12" s="598"/>
      <c r="DN12" s="392"/>
      <c r="DO12" s="599"/>
      <c r="DP12" s="599"/>
      <c r="DQ12" s="598"/>
      <c r="DR12" s="392"/>
      <c r="DS12" s="599"/>
      <c r="DT12" s="599"/>
      <c r="DU12" s="598"/>
      <c r="DV12" s="392"/>
      <c r="DW12" s="599"/>
      <c r="DX12" s="599"/>
      <c r="DY12" s="598"/>
      <c r="DZ12" s="392"/>
      <c r="EA12" s="599"/>
      <c r="EB12" s="599"/>
      <c r="EC12" s="598"/>
      <c r="ED12" s="392"/>
      <c r="EE12" s="599"/>
      <c r="EF12" s="599"/>
      <c r="EG12" s="598"/>
      <c r="EH12" s="392"/>
      <c r="EI12" s="599"/>
      <c r="EJ12" s="599"/>
      <c r="EK12" s="598"/>
      <c r="EL12" s="392"/>
      <c r="EM12" s="599"/>
      <c r="EN12" s="599"/>
      <c r="EO12" s="598"/>
      <c r="EP12" s="392"/>
      <c r="EQ12" s="599"/>
      <c r="ER12" s="599"/>
      <c r="ES12" s="598"/>
      <c r="ET12" s="392"/>
      <c r="EU12" s="599"/>
      <c r="EV12" s="599"/>
      <c r="EW12" s="598"/>
      <c r="EX12" s="392"/>
      <c r="EY12" s="599"/>
      <c r="EZ12" s="599"/>
      <c r="FA12" s="598"/>
      <c r="FB12" s="392"/>
      <c r="FC12" s="599"/>
      <c r="FD12" s="599"/>
      <c r="FE12" s="598"/>
      <c r="FF12" s="392"/>
      <c r="FG12" s="599"/>
      <c r="FH12" s="599"/>
      <c r="FI12" s="598"/>
      <c r="FJ12" s="392"/>
      <c r="FK12" s="599"/>
      <c r="FL12" s="599"/>
      <c r="FM12" s="598"/>
      <c r="FN12" s="392"/>
      <c r="FO12" s="599"/>
      <c r="FP12" s="599"/>
      <c r="FQ12" s="598"/>
      <c r="FR12" s="392"/>
      <c r="FS12" s="599"/>
      <c r="FT12" s="599"/>
      <c r="FU12" s="598"/>
      <c r="FV12" s="392"/>
      <c r="FW12" s="599"/>
      <c r="FX12" s="599"/>
      <c r="FY12" s="598"/>
      <c r="FZ12" s="392"/>
      <c r="GA12" s="599"/>
      <c r="GB12" s="599"/>
      <c r="GC12" s="598"/>
      <c r="GD12" s="392"/>
      <c r="GE12" s="599"/>
      <c r="GF12" s="599"/>
      <c r="GG12" s="598"/>
      <c r="GH12" s="392"/>
      <c r="GI12" s="599"/>
      <c r="GJ12" s="599"/>
      <c r="GK12" s="598"/>
      <c r="GL12" s="392"/>
      <c r="GM12" s="599"/>
      <c r="GN12" s="599"/>
      <c r="GO12" s="598"/>
      <c r="GP12" s="392"/>
      <c r="GQ12" s="599"/>
      <c r="GR12" s="599"/>
      <c r="GS12" s="598"/>
      <c r="GT12" s="392"/>
      <c r="GU12" s="599"/>
      <c r="GV12" s="599"/>
      <c r="GW12" s="598"/>
      <c r="GX12" s="392"/>
      <c r="GY12" s="599"/>
      <c r="GZ12" s="599"/>
      <c r="HA12" s="598"/>
      <c r="HB12" s="392"/>
      <c r="HC12" s="599"/>
      <c r="HD12" s="599"/>
      <c r="HE12" s="598"/>
      <c r="HF12" s="392"/>
      <c r="HG12" s="599"/>
      <c r="HH12" s="599"/>
      <c r="HI12" s="598"/>
      <c r="HJ12" s="392"/>
      <c r="HK12" s="599"/>
      <c r="HL12" s="599"/>
      <c r="HM12" s="598"/>
      <c r="HN12" s="392"/>
      <c r="HO12" s="599"/>
      <c r="HP12" s="599"/>
      <c r="HQ12" s="598"/>
      <c r="HR12" s="392"/>
      <c r="HS12" s="599"/>
      <c r="HT12" s="599"/>
      <c r="HU12" s="598"/>
      <c r="HV12" s="392"/>
      <c r="HW12" s="599"/>
      <c r="HX12" s="599"/>
      <c r="HY12" s="598"/>
      <c r="HZ12" s="392"/>
      <c r="IA12" s="599"/>
      <c r="IB12" s="599"/>
      <c r="IC12" s="598"/>
      <c r="ID12" s="392"/>
      <c r="IE12" s="599"/>
      <c r="IF12" s="599"/>
      <c r="IG12" s="598"/>
      <c r="IH12" s="392"/>
      <c r="II12" s="599"/>
      <c r="IJ12" s="599"/>
      <c r="IK12" s="598"/>
      <c r="IL12" s="392"/>
      <c r="IM12" s="599"/>
      <c r="IN12" s="599"/>
      <c r="IO12" s="598"/>
      <c r="IP12" s="392"/>
      <c r="IQ12" s="599"/>
      <c r="IR12" s="599"/>
      <c r="IS12" s="598"/>
      <c r="IT12" s="392"/>
      <c r="IU12" s="599"/>
      <c r="IV12" s="599"/>
      <c r="IW12" s="598"/>
      <c r="IX12" s="392"/>
      <c r="IY12" s="599"/>
      <c r="IZ12" s="599"/>
      <c r="JA12" s="598"/>
      <c r="JB12" s="392"/>
      <c r="JC12" s="599"/>
      <c r="JD12" s="599"/>
      <c r="JE12" s="598"/>
      <c r="JF12" s="392"/>
      <c r="JG12" s="599"/>
      <c r="JH12" s="599"/>
      <c r="JI12" s="598"/>
      <c r="JJ12" s="392"/>
      <c r="JK12" s="599"/>
      <c r="JL12" s="599"/>
      <c r="JM12" s="598"/>
      <c r="JN12" s="392"/>
      <c r="JO12" s="599"/>
      <c r="JP12" s="599"/>
      <c r="JQ12" s="598"/>
      <c r="JR12" s="392"/>
      <c r="JS12" s="599"/>
      <c r="JT12" s="599"/>
      <c r="JU12" s="598"/>
      <c r="JV12" s="392"/>
      <c r="JW12" s="599"/>
      <c r="JX12" s="599"/>
      <c r="JY12" s="598"/>
      <c r="JZ12" s="392"/>
      <c r="KA12" s="599"/>
      <c r="KB12" s="599"/>
      <c r="KC12" s="598"/>
      <c r="KD12" s="392"/>
      <c r="KE12" s="599"/>
      <c r="KF12" s="599"/>
      <c r="KG12" s="598"/>
    </row>
    <row r="13" spans="1:293" x14ac:dyDescent="0.3">
      <c r="A13" s="618"/>
      <c r="B13" s="603"/>
      <c r="C13" s="121"/>
      <c r="D13" s="121"/>
      <c r="E13" s="597"/>
      <c r="F13" s="603"/>
      <c r="G13" s="121"/>
      <c r="H13" s="121"/>
      <c r="I13" s="597"/>
      <c r="J13" s="603"/>
      <c r="K13" s="121"/>
      <c r="L13" s="121"/>
      <c r="M13" s="597"/>
      <c r="N13" s="603"/>
      <c r="O13" s="121"/>
      <c r="P13" s="121"/>
      <c r="Q13" s="597"/>
      <c r="R13" s="603"/>
      <c r="S13" s="121"/>
      <c r="T13" s="121"/>
      <c r="U13" s="597"/>
      <c r="V13" s="603"/>
      <c r="W13" s="121"/>
      <c r="X13" s="121"/>
      <c r="Y13" s="597"/>
      <c r="Z13" s="603"/>
      <c r="AA13" s="121"/>
      <c r="AB13" s="121"/>
      <c r="AC13" s="597"/>
      <c r="AD13" s="603"/>
      <c r="AE13" s="121"/>
      <c r="AF13" s="121"/>
      <c r="AG13" s="597"/>
      <c r="AH13" s="603"/>
      <c r="AI13" s="121"/>
      <c r="AJ13" s="121"/>
      <c r="AK13" s="597"/>
      <c r="AL13" s="603"/>
      <c r="AM13" s="121"/>
      <c r="AN13" s="121"/>
      <c r="AO13" s="597"/>
      <c r="AP13" s="603"/>
      <c r="AQ13" s="121"/>
      <c r="AR13" s="121"/>
      <c r="AS13" s="597"/>
      <c r="AT13" s="603"/>
      <c r="AU13" s="121"/>
      <c r="AV13" s="121"/>
      <c r="AW13" s="597"/>
      <c r="AX13" s="603"/>
      <c r="AY13" s="121"/>
      <c r="AZ13" s="121"/>
      <c r="BA13" s="597"/>
      <c r="BB13" s="603"/>
      <c r="BC13" s="121"/>
      <c r="BD13" s="121"/>
      <c r="BE13" s="597"/>
      <c r="BF13" s="603"/>
      <c r="BG13" s="121"/>
      <c r="BH13" s="121"/>
      <c r="BI13" s="597"/>
      <c r="BJ13" s="603"/>
      <c r="BK13" s="121"/>
      <c r="BL13" s="121"/>
      <c r="BM13" s="597"/>
      <c r="BN13" s="603"/>
      <c r="BO13" s="121"/>
      <c r="BP13" s="121"/>
      <c r="BQ13" s="598"/>
      <c r="BR13" s="603"/>
      <c r="BS13" s="121"/>
      <c r="BT13" s="121"/>
      <c r="BU13" s="598"/>
      <c r="BV13" s="603"/>
      <c r="BW13" s="121"/>
      <c r="BX13" s="121"/>
      <c r="BY13" s="598"/>
      <c r="BZ13" s="603"/>
      <c r="CA13" s="121"/>
      <c r="CB13" s="121"/>
      <c r="CC13" s="598"/>
      <c r="CD13" s="603"/>
      <c r="CE13" s="121"/>
      <c r="CF13" s="121"/>
      <c r="CG13" s="598"/>
      <c r="CH13" s="603"/>
      <c r="CI13" s="121"/>
      <c r="CJ13" s="121"/>
      <c r="CK13" s="598"/>
      <c r="CL13" s="603"/>
      <c r="CM13" s="121"/>
      <c r="CN13" s="121"/>
      <c r="CO13" s="598"/>
      <c r="CP13" s="603"/>
      <c r="CQ13" s="121"/>
      <c r="CR13" s="121"/>
      <c r="CS13" s="598"/>
      <c r="CT13" s="603"/>
      <c r="CU13" s="121"/>
      <c r="CV13" s="121"/>
      <c r="CW13" s="598"/>
      <c r="CX13" s="603"/>
      <c r="CY13" s="121"/>
      <c r="CZ13" s="121"/>
      <c r="DA13" s="598"/>
      <c r="DB13" s="603"/>
      <c r="DC13" s="121"/>
      <c r="DD13" s="121"/>
      <c r="DE13" s="598"/>
      <c r="DF13" s="603"/>
      <c r="DG13" s="121"/>
      <c r="DH13" s="121"/>
      <c r="DI13" s="598"/>
      <c r="DJ13" s="603"/>
      <c r="DK13" s="121"/>
      <c r="DL13" s="121"/>
      <c r="DM13" s="598"/>
      <c r="DN13" s="603"/>
      <c r="DO13" s="121"/>
      <c r="DP13" s="121"/>
      <c r="DQ13" s="598"/>
      <c r="DR13" s="603"/>
      <c r="DS13" s="121"/>
      <c r="DT13" s="121"/>
      <c r="DU13" s="598"/>
      <c r="DV13" s="603"/>
      <c r="DW13" s="121"/>
      <c r="DX13" s="121"/>
      <c r="DY13" s="598"/>
      <c r="DZ13" s="603"/>
      <c r="EA13" s="121"/>
      <c r="EB13" s="121"/>
      <c r="EC13" s="598"/>
      <c r="ED13" s="603"/>
      <c r="EE13" s="121"/>
      <c r="EF13" s="121"/>
      <c r="EG13" s="598"/>
      <c r="EH13" s="603"/>
      <c r="EI13" s="121"/>
      <c r="EJ13" s="121"/>
      <c r="EK13" s="598"/>
      <c r="EL13" s="603"/>
      <c r="EM13" s="121"/>
      <c r="EN13" s="121"/>
      <c r="EO13" s="598"/>
      <c r="EP13" s="603"/>
      <c r="EQ13" s="121"/>
      <c r="ER13" s="121"/>
      <c r="ES13" s="598"/>
      <c r="ET13" s="603"/>
      <c r="EU13" s="121"/>
      <c r="EV13" s="121"/>
      <c r="EW13" s="598"/>
      <c r="EX13" s="603"/>
      <c r="EY13" s="121"/>
      <c r="EZ13" s="121"/>
      <c r="FA13" s="598"/>
      <c r="FB13" s="603"/>
      <c r="FC13" s="121"/>
      <c r="FD13" s="121"/>
      <c r="FE13" s="598"/>
      <c r="FF13" s="603"/>
      <c r="FG13" s="121"/>
      <c r="FH13" s="121"/>
      <c r="FI13" s="598"/>
      <c r="FJ13" s="603"/>
      <c r="FK13" s="121"/>
      <c r="FL13" s="121"/>
      <c r="FM13" s="598"/>
      <c r="FN13" s="603"/>
      <c r="FO13" s="121"/>
      <c r="FP13" s="121"/>
      <c r="FQ13" s="598"/>
      <c r="FR13" s="603"/>
      <c r="FS13" s="121"/>
      <c r="FT13" s="121"/>
      <c r="FU13" s="598"/>
      <c r="FV13" s="603"/>
      <c r="FW13" s="121"/>
      <c r="FX13" s="121"/>
      <c r="FY13" s="598"/>
      <c r="FZ13" s="603"/>
      <c r="GA13" s="121"/>
      <c r="GB13" s="121"/>
      <c r="GC13" s="598"/>
      <c r="GD13" s="603"/>
      <c r="GE13" s="121"/>
      <c r="GF13" s="121"/>
      <c r="GG13" s="598"/>
      <c r="GH13" s="603"/>
      <c r="GI13" s="121"/>
      <c r="GJ13" s="121"/>
      <c r="GK13" s="598"/>
      <c r="GL13" s="603"/>
      <c r="GM13" s="121"/>
      <c r="GN13" s="121"/>
      <c r="GO13" s="598"/>
      <c r="GP13" s="603"/>
      <c r="GQ13" s="121"/>
      <c r="GR13" s="121"/>
      <c r="GS13" s="598"/>
      <c r="GT13" s="603"/>
      <c r="GU13" s="121"/>
      <c r="GV13" s="121"/>
      <c r="GW13" s="598"/>
      <c r="GX13" s="603"/>
      <c r="GY13" s="121"/>
      <c r="GZ13" s="121"/>
      <c r="HA13" s="598"/>
      <c r="HB13" s="603"/>
      <c r="HC13" s="121"/>
      <c r="HD13" s="121"/>
      <c r="HE13" s="598"/>
      <c r="HF13" s="603"/>
      <c r="HG13" s="121"/>
      <c r="HH13" s="121"/>
      <c r="HI13" s="598"/>
      <c r="HJ13" s="603"/>
      <c r="HK13" s="121"/>
      <c r="HL13" s="121"/>
      <c r="HM13" s="598"/>
      <c r="HN13" s="603"/>
      <c r="HO13" s="121"/>
      <c r="HP13" s="121"/>
      <c r="HQ13" s="598"/>
      <c r="HR13" s="603"/>
      <c r="HS13" s="121"/>
      <c r="HT13" s="121"/>
      <c r="HU13" s="598"/>
      <c r="HV13" s="603"/>
      <c r="HW13" s="121"/>
      <c r="HX13" s="121"/>
      <c r="HY13" s="598"/>
      <c r="HZ13" s="603"/>
      <c r="IA13" s="121"/>
      <c r="IB13" s="121"/>
      <c r="IC13" s="598"/>
      <c r="ID13" s="603"/>
      <c r="IE13" s="121"/>
      <c r="IF13" s="121"/>
      <c r="IG13" s="598"/>
      <c r="IH13" s="603"/>
      <c r="II13" s="121"/>
      <c r="IJ13" s="121"/>
      <c r="IK13" s="598"/>
      <c r="IL13" s="603"/>
      <c r="IM13" s="121"/>
      <c r="IN13" s="121"/>
      <c r="IO13" s="598"/>
      <c r="IP13" s="603"/>
      <c r="IQ13" s="121"/>
      <c r="IR13" s="121"/>
      <c r="IS13" s="598"/>
      <c r="IT13" s="603"/>
      <c r="IU13" s="121"/>
      <c r="IV13" s="121"/>
      <c r="IW13" s="598"/>
      <c r="IX13" s="603"/>
      <c r="IY13" s="121"/>
      <c r="IZ13" s="121"/>
      <c r="JA13" s="598"/>
      <c r="JB13" s="603"/>
      <c r="JC13" s="121"/>
      <c r="JD13" s="121"/>
      <c r="JE13" s="598"/>
      <c r="JF13" s="603"/>
      <c r="JG13" s="121"/>
      <c r="JH13" s="121"/>
      <c r="JI13" s="598"/>
      <c r="JJ13" s="603"/>
      <c r="JK13" s="121"/>
      <c r="JL13" s="121"/>
      <c r="JM13" s="598"/>
      <c r="JN13" s="603"/>
      <c r="JO13" s="121"/>
      <c r="JP13" s="121"/>
      <c r="JQ13" s="598"/>
      <c r="JR13" s="603"/>
      <c r="JS13" s="121"/>
      <c r="JT13" s="121"/>
      <c r="JU13" s="598"/>
      <c r="JV13" s="603"/>
      <c r="JW13" s="121"/>
      <c r="JX13" s="121"/>
      <c r="JY13" s="598"/>
      <c r="JZ13" s="603"/>
      <c r="KA13" s="121"/>
      <c r="KB13" s="121"/>
      <c r="KC13" s="598"/>
      <c r="KD13" s="603"/>
      <c r="KE13" s="121"/>
      <c r="KF13" s="121"/>
      <c r="KG13" s="598"/>
    </row>
    <row r="14" spans="1:293" x14ac:dyDescent="0.3">
      <c r="A14" s="600" t="s">
        <v>535</v>
      </c>
      <c r="B14" s="613">
        <v>6026</v>
      </c>
      <c r="C14" s="352">
        <v>5883</v>
      </c>
      <c r="D14" s="352">
        <v>0</v>
      </c>
      <c r="E14" s="612">
        <v>11909</v>
      </c>
      <c r="F14" s="613">
        <v>4936</v>
      </c>
      <c r="G14" s="352">
        <v>4199</v>
      </c>
      <c r="H14" s="352">
        <v>0</v>
      </c>
      <c r="I14" s="612">
        <v>9135</v>
      </c>
      <c r="J14" s="613">
        <v>3114</v>
      </c>
      <c r="K14" s="352">
        <v>5009</v>
      </c>
      <c r="L14" s="352">
        <v>0</v>
      </c>
      <c r="M14" s="612">
        <v>8123</v>
      </c>
      <c r="N14" s="613">
        <v>3906</v>
      </c>
      <c r="O14" s="352">
        <v>4506</v>
      </c>
      <c r="P14" s="352">
        <v>0</v>
      </c>
      <c r="Q14" s="612">
        <v>8412</v>
      </c>
      <c r="R14" s="367">
        <v>4148</v>
      </c>
      <c r="S14" s="132">
        <v>4091</v>
      </c>
      <c r="T14" s="132">
        <v>0</v>
      </c>
      <c r="U14" s="612">
        <v>8239</v>
      </c>
      <c r="V14" s="367">
        <v>4293</v>
      </c>
      <c r="W14" s="132">
        <v>3816</v>
      </c>
      <c r="X14" s="132">
        <v>0</v>
      </c>
      <c r="Y14" s="612">
        <v>8109</v>
      </c>
      <c r="Z14" s="367">
        <v>4268</v>
      </c>
      <c r="AA14" s="132">
        <v>3692</v>
      </c>
      <c r="AB14" s="132">
        <v>0</v>
      </c>
      <c r="AC14" s="612">
        <v>7960</v>
      </c>
      <c r="AD14" s="367">
        <v>4081</v>
      </c>
      <c r="AE14" s="132">
        <v>5820</v>
      </c>
      <c r="AF14" s="132">
        <v>0</v>
      </c>
      <c r="AG14" s="612">
        <v>9901</v>
      </c>
      <c r="AH14" s="367">
        <v>5665</v>
      </c>
      <c r="AI14" s="132">
        <v>5410</v>
      </c>
      <c r="AJ14" s="132">
        <v>0</v>
      </c>
      <c r="AK14" s="612">
        <v>11075</v>
      </c>
      <c r="AL14" s="367">
        <v>4169</v>
      </c>
      <c r="AM14" s="132">
        <v>5792</v>
      </c>
      <c r="AN14" s="132">
        <v>0</v>
      </c>
      <c r="AO14" s="612">
        <v>9961</v>
      </c>
      <c r="AP14" s="367">
        <v>3692</v>
      </c>
      <c r="AQ14" s="132">
        <v>5940</v>
      </c>
      <c r="AR14" s="132">
        <v>0</v>
      </c>
      <c r="AS14" s="612">
        <v>9632</v>
      </c>
      <c r="AT14" s="367">
        <v>4174</v>
      </c>
      <c r="AU14" s="132">
        <v>4742</v>
      </c>
      <c r="AV14" s="132">
        <v>0</v>
      </c>
      <c r="AW14" s="612">
        <v>8916</v>
      </c>
      <c r="AX14" s="367">
        <v>4330</v>
      </c>
      <c r="AY14" s="132">
        <v>4080</v>
      </c>
      <c r="AZ14" s="132">
        <v>0</v>
      </c>
      <c r="BA14" s="612">
        <v>8410</v>
      </c>
      <c r="BB14" s="367">
        <v>3960</v>
      </c>
      <c r="BC14" s="132">
        <v>3780</v>
      </c>
      <c r="BD14" s="132">
        <v>0</v>
      </c>
      <c r="BE14" s="612">
        <v>7740</v>
      </c>
      <c r="BF14" s="367">
        <v>4708</v>
      </c>
      <c r="BG14" s="132">
        <v>3745</v>
      </c>
      <c r="BH14" s="132">
        <v>0</v>
      </c>
      <c r="BI14" s="612">
        <v>8453</v>
      </c>
      <c r="BJ14" s="367">
        <v>8053</v>
      </c>
      <c r="BK14" s="132">
        <v>3311</v>
      </c>
      <c r="BL14" s="132">
        <v>0</v>
      </c>
      <c r="BM14" s="612">
        <v>11364</v>
      </c>
      <c r="BN14" s="367">
        <v>8070</v>
      </c>
      <c r="BO14" s="609">
        <v>3239</v>
      </c>
      <c r="BP14" s="609">
        <v>0</v>
      </c>
      <c r="BQ14" s="606">
        <v>11309</v>
      </c>
      <c r="BR14" s="367">
        <v>8015</v>
      </c>
      <c r="BS14" s="609">
        <v>3047</v>
      </c>
      <c r="BT14" s="609">
        <v>0</v>
      </c>
      <c r="BU14" s="606">
        <v>11062</v>
      </c>
      <c r="BV14" s="367">
        <v>8373</v>
      </c>
      <c r="BW14" s="609">
        <v>2952</v>
      </c>
      <c r="BX14" s="609">
        <v>0</v>
      </c>
      <c r="BY14" s="606">
        <v>11325</v>
      </c>
      <c r="BZ14" s="367">
        <v>8301</v>
      </c>
      <c r="CA14" s="609">
        <v>2767</v>
      </c>
      <c r="CB14" s="609">
        <v>0</v>
      </c>
      <c r="CC14" s="606">
        <v>11068</v>
      </c>
      <c r="CD14" s="367">
        <v>8500</v>
      </c>
      <c r="CE14" s="609">
        <v>2653</v>
      </c>
      <c r="CF14" s="609">
        <v>0</v>
      </c>
      <c r="CG14" s="606">
        <v>11153</v>
      </c>
      <c r="CH14" s="367">
        <v>8619</v>
      </c>
      <c r="CI14" s="609">
        <v>2546</v>
      </c>
      <c r="CJ14" s="609">
        <v>0</v>
      </c>
      <c r="CK14" s="606">
        <v>11165</v>
      </c>
      <c r="CL14" s="367">
        <v>8347</v>
      </c>
      <c r="CM14" s="609">
        <v>2652</v>
      </c>
      <c r="CN14" s="609">
        <v>0</v>
      </c>
      <c r="CO14" s="606">
        <v>10999</v>
      </c>
      <c r="CP14" s="367">
        <v>8373</v>
      </c>
      <c r="CQ14" s="609">
        <v>2356</v>
      </c>
      <c r="CR14" s="609">
        <v>0</v>
      </c>
      <c r="CS14" s="606">
        <v>10729</v>
      </c>
      <c r="CT14" s="367">
        <v>8686</v>
      </c>
      <c r="CU14" s="609">
        <v>2402</v>
      </c>
      <c r="CV14" s="609">
        <v>0</v>
      </c>
      <c r="CW14" s="606">
        <v>11088</v>
      </c>
      <c r="CX14" s="367">
        <v>8673</v>
      </c>
      <c r="CY14" s="609">
        <v>2314</v>
      </c>
      <c r="CZ14" s="609">
        <v>0</v>
      </c>
      <c r="DA14" s="606">
        <v>10987</v>
      </c>
      <c r="DB14" s="367">
        <v>8952</v>
      </c>
      <c r="DC14" s="609">
        <v>2145</v>
      </c>
      <c r="DD14" s="609">
        <v>0</v>
      </c>
      <c r="DE14" s="606">
        <v>11097</v>
      </c>
      <c r="DF14" s="367">
        <v>8965</v>
      </c>
      <c r="DG14" s="609">
        <v>2466</v>
      </c>
      <c r="DH14" s="609">
        <v>0</v>
      </c>
      <c r="DI14" s="606">
        <v>11431</v>
      </c>
      <c r="DJ14" s="367">
        <v>10180</v>
      </c>
      <c r="DK14" s="609">
        <v>2505</v>
      </c>
      <c r="DL14" s="609">
        <v>0</v>
      </c>
      <c r="DM14" s="606">
        <v>12685</v>
      </c>
      <c r="DN14" s="367">
        <v>9887</v>
      </c>
      <c r="DO14" s="609">
        <v>2867</v>
      </c>
      <c r="DP14" s="609">
        <v>0</v>
      </c>
      <c r="DQ14" s="606">
        <v>12754</v>
      </c>
      <c r="DR14" s="367">
        <v>9541</v>
      </c>
      <c r="DS14" s="609">
        <v>3254</v>
      </c>
      <c r="DT14" s="609">
        <v>0</v>
      </c>
      <c r="DU14" s="606">
        <v>12795</v>
      </c>
      <c r="DV14" s="367">
        <v>9637</v>
      </c>
      <c r="DW14" s="609">
        <v>3163</v>
      </c>
      <c r="DX14" s="609">
        <v>0</v>
      </c>
      <c r="DY14" s="606">
        <v>12800</v>
      </c>
      <c r="DZ14" s="367">
        <v>9003</v>
      </c>
      <c r="EA14" s="609">
        <v>3384</v>
      </c>
      <c r="EB14" s="609">
        <v>0</v>
      </c>
      <c r="EC14" s="606">
        <v>12387</v>
      </c>
      <c r="ED14" s="367">
        <v>8974</v>
      </c>
      <c r="EE14" s="609">
        <v>3458</v>
      </c>
      <c r="EF14" s="609">
        <v>0</v>
      </c>
      <c r="EG14" s="606">
        <v>12432</v>
      </c>
      <c r="EH14" s="367">
        <v>9049</v>
      </c>
      <c r="EI14" s="609">
        <v>3520</v>
      </c>
      <c r="EJ14" s="609">
        <v>0</v>
      </c>
      <c r="EK14" s="606">
        <v>12569</v>
      </c>
      <c r="EL14" s="367">
        <v>8689</v>
      </c>
      <c r="EM14" s="609">
        <v>3798</v>
      </c>
      <c r="EN14" s="609">
        <v>0</v>
      </c>
      <c r="EO14" s="606">
        <v>12487</v>
      </c>
      <c r="EP14" s="611">
        <v>8062</v>
      </c>
      <c r="EQ14" s="610">
        <v>3909</v>
      </c>
      <c r="ER14" s="609">
        <v>0</v>
      </c>
      <c r="ES14" s="606">
        <v>11971</v>
      </c>
      <c r="ET14" s="611">
        <v>7838</v>
      </c>
      <c r="EU14" s="610">
        <v>4873</v>
      </c>
      <c r="EV14" s="609">
        <v>0</v>
      </c>
      <c r="EW14" s="606">
        <v>12711</v>
      </c>
      <c r="EX14" s="611">
        <v>7217</v>
      </c>
      <c r="EY14" s="610">
        <v>4869</v>
      </c>
      <c r="EZ14" s="609">
        <v>0</v>
      </c>
      <c r="FA14" s="606">
        <v>12086</v>
      </c>
      <c r="FB14" s="611">
        <v>7168</v>
      </c>
      <c r="FC14" s="610">
        <v>5090</v>
      </c>
      <c r="FD14" s="609">
        <v>0</v>
      </c>
      <c r="FE14" s="606">
        <v>12258</v>
      </c>
      <c r="FF14" s="611">
        <v>6644</v>
      </c>
      <c r="FG14" s="610">
        <v>5129</v>
      </c>
      <c r="FH14" s="609">
        <v>0</v>
      </c>
      <c r="FI14" s="606">
        <v>11773</v>
      </c>
      <c r="FJ14" s="611">
        <v>7647</v>
      </c>
      <c r="FK14" s="610">
        <v>5157</v>
      </c>
      <c r="FL14" s="609">
        <v>0</v>
      </c>
      <c r="FM14" s="606">
        <v>12804</v>
      </c>
      <c r="FN14" s="611">
        <v>7803</v>
      </c>
      <c r="FO14" s="610">
        <v>5139</v>
      </c>
      <c r="FP14" s="609">
        <v>0</v>
      </c>
      <c r="FQ14" s="606">
        <v>12942</v>
      </c>
      <c r="FR14" s="611">
        <v>7867</v>
      </c>
      <c r="FS14" s="610">
        <v>5046</v>
      </c>
      <c r="FT14" s="609">
        <v>0</v>
      </c>
      <c r="FU14" s="606">
        <v>12913</v>
      </c>
      <c r="FV14" s="611">
        <v>7496</v>
      </c>
      <c r="FW14" s="610">
        <v>4965</v>
      </c>
      <c r="FX14" s="609">
        <v>0</v>
      </c>
      <c r="FY14" s="606">
        <v>12461</v>
      </c>
      <c r="FZ14" s="611">
        <v>7746</v>
      </c>
      <c r="GA14" s="610">
        <v>4978</v>
      </c>
      <c r="GB14" s="609">
        <v>0</v>
      </c>
      <c r="GC14" s="606">
        <v>12724</v>
      </c>
      <c r="GD14" s="611">
        <v>7486</v>
      </c>
      <c r="GE14" s="610">
        <v>4938</v>
      </c>
      <c r="GF14" s="609">
        <v>0</v>
      </c>
      <c r="GG14" s="606">
        <v>12424</v>
      </c>
      <c r="GH14" s="611">
        <v>7986</v>
      </c>
      <c r="GI14" s="610">
        <v>8548</v>
      </c>
      <c r="GJ14" s="609">
        <v>0</v>
      </c>
      <c r="GK14" s="606">
        <v>16534</v>
      </c>
      <c r="GL14" s="611">
        <v>10668</v>
      </c>
      <c r="GM14" s="610">
        <v>8927.7999999999993</v>
      </c>
      <c r="GN14" s="609">
        <v>0</v>
      </c>
      <c r="GO14" s="606">
        <v>19595.8</v>
      </c>
      <c r="GP14" s="611">
        <v>12033</v>
      </c>
      <c r="GQ14" s="610">
        <v>9031</v>
      </c>
      <c r="GR14" s="609">
        <v>0</v>
      </c>
      <c r="GS14" s="606">
        <v>21064</v>
      </c>
      <c r="GT14" s="611">
        <v>12859</v>
      </c>
      <c r="GU14" s="610">
        <v>8771</v>
      </c>
      <c r="GV14" s="609">
        <v>0</v>
      </c>
      <c r="GW14" s="606">
        <v>21630</v>
      </c>
      <c r="GX14" s="611">
        <v>13828</v>
      </c>
      <c r="GY14" s="610">
        <v>8689</v>
      </c>
      <c r="GZ14" s="609">
        <v>0</v>
      </c>
      <c r="HA14" s="606">
        <v>22517</v>
      </c>
      <c r="HB14" s="611">
        <v>14811</v>
      </c>
      <c r="HC14" s="610">
        <v>8658</v>
      </c>
      <c r="HD14" s="609">
        <v>0</v>
      </c>
      <c r="HE14" s="606">
        <v>23469</v>
      </c>
      <c r="HF14" s="611">
        <v>16588</v>
      </c>
      <c r="HG14" s="610">
        <v>9105</v>
      </c>
      <c r="HH14" s="609">
        <v>0</v>
      </c>
      <c r="HI14" s="606">
        <v>25693</v>
      </c>
      <c r="HJ14" s="611">
        <v>16982.7</v>
      </c>
      <c r="HK14" s="610">
        <v>8864</v>
      </c>
      <c r="HL14" s="609">
        <v>0</v>
      </c>
      <c r="HM14" s="606">
        <v>25846.7</v>
      </c>
      <c r="HN14" s="611">
        <v>17969.27</v>
      </c>
      <c r="HO14" s="610">
        <v>8525</v>
      </c>
      <c r="HP14" s="609">
        <v>0</v>
      </c>
      <c r="HQ14" s="606">
        <v>26494.27</v>
      </c>
      <c r="HR14" s="611">
        <v>18325.89</v>
      </c>
      <c r="HS14" s="610">
        <v>8609</v>
      </c>
      <c r="HT14" s="609">
        <v>0</v>
      </c>
      <c r="HU14" s="606">
        <v>26934.89</v>
      </c>
      <c r="HV14" s="611">
        <v>20060</v>
      </c>
      <c r="HW14" s="610">
        <v>8653</v>
      </c>
      <c r="HX14" s="609">
        <v>0</v>
      </c>
      <c r="HY14" s="606">
        <v>28713</v>
      </c>
      <c r="HZ14" s="611">
        <v>20621</v>
      </c>
      <c r="IA14" s="610">
        <v>8358</v>
      </c>
      <c r="IB14" s="609">
        <v>0</v>
      </c>
      <c r="IC14" s="606">
        <v>28979</v>
      </c>
      <c r="ID14" s="611">
        <v>21939</v>
      </c>
      <c r="IE14" s="610">
        <v>8134</v>
      </c>
      <c r="IF14" s="609">
        <v>0</v>
      </c>
      <c r="IG14" s="606">
        <v>30073</v>
      </c>
      <c r="IH14" s="611">
        <v>23062</v>
      </c>
      <c r="II14" s="610">
        <v>8182</v>
      </c>
      <c r="IJ14" s="609">
        <v>0</v>
      </c>
      <c r="IK14" s="606">
        <v>31244</v>
      </c>
      <c r="IL14" s="611">
        <v>23215</v>
      </c>
      <c r="IM14" s="610">
        <v>8179</v>
      </c>
      <c r="IN14" s="609">
        <v>0</v>
      </c>
      <c r="IO14" s="606">
        <v>31394</v>
      </c>
      <c r="IP14" s="611">
        <v>21774.399999999998</v>
      </c>
      <c r="IQ14" s="610">
        <v>7744.7</v>
      </c>
      <c r="IR14" s="609">
        <v>0</v>
      </c>
      <c r="IS14" s="606">
        <v>29519.1</v>
      </c>
      <c r="IT14" s="611">
        <v>21818.400000000001</v>
      </c>
      <c r="IU14" s="610">
        <v>7668</v>
      </c>
      <c r="IV14" s="609">
        <v>0</v>
      </c>
      <c r="IW14" s="606">
        <v>29486.400000000001</v>
      </c>
      <c r="IX14" s="611">
        <v>22406.5</v>
      </c>
      <c r="IY14" s="610">
        <v>7975</v>
      </c>
      <c r="IZ14" s="609">
        <v>0</v>
      </c>
      <c r="JA14" s="606">
        <v>30381.5</v>
      </c>
      <c r="JB14" s="611">
        <v>22783</v>
      </c>
      <c r="JC14" s="610">
        <v>7945</v>
      </c>
      <c r="JD14" s="609">
        <v>0</v>
      </c>
      <c r="JE14" s="606">
        <v>30728</v>
      </c>
      <c r="JF14" s="611">
        <v>21646.400000000001</v>
      </c>
      <c r="JG14" s="610">
        <v>7298</v>
      </c>
      <c r="JH14" s="609">
        <v>0</v>
      </c>
      <c r="JI14" s="606">
        <v>28944.400000000001</v>
      </c>
      <c r="JJ14" s="367">
        <v>22249</v>
      </c>
      <c r="JK14" s="609">
        <v>7331</v>
      </c>
      <c r="JL14" s="609">
        <v>0</v>
      </c>
      <c r="JM14" s="606">
        <v>29580</v>
      </c>
      <c r="JN14" s="367">
        <v>21039.67</v>
      </c>
      <c r="JO14" s="609">
        <v>6784.96</v>
      </c>
      <c r="JP14" s="609">
        <v>0</v>
      </c>
      <c r="JQ14" s="606">
        <v>27824.629999999997</v>
      </c>
      <c r="JR14" s="367">
        <v>20869.62</v>
      </c>
      <c r="JS14" s="609">
        <v>6557.3149999999996</v>
      </c>
      <c r="JT14" s="609">
        <v>0</v>
      </c>
      <c r="JU14" s="606">
        <v>27426.934999999998</v>
      </c>
      <c r="JV14" s="367">
        <v>21139.1</v>
      </c>
      <c r="JW14" s="609">
        <v>6315.13</v>
      </c>
      <c r="JX14" s="1211">
        <v>0</v>
      </c>
      <c r="JY14" s="606">
        <v>27454.23</v>
      </c>
      <c r="JZ14" s="367">
        <v>21245</v>
      </c>
      <c r="KA14" s="609">
        <v>6568</v>
      </c>
      <c r="KB14" s="1211">
        <v>0</v>
      </c>
      <c r="KC14" s="606">
        <v>27813</v>
      </c>
      <c r="KD14" s="367">
        <v>21629</v>
      </c>
      <c r="KE14" s="609">
        <v>6364</v>
      </c>
      <c r="KF14" s="1211">
        <v>0</v>
      </c>
      <c r="KG14" s="606">
        <v>27993</v>
      </c>
    </row>
    <row r="15" spans="1:293" x14ac:dyDescent="0.3">
      <c r="A15" s="600" t="s">
        <v>491</v>
      </c>
      <c r="B15" s="393">
        <v>50.600386262490545</v>
      </c>
      <c r="C15" s="599">
        <v>49.399613737509448</v>
      </c>
      <c r="D15" s="615">
        <v>0</v>
      </c>
      <c r="E15" s="597"/>
      <c r="F15" s="393">
        <v>54.033935413245757</v>
      </c>
      <c r="G15" s="599">
        <v>45.966064586754243</v>
      </c>
      <c r="H15" s="615">
        <v>0</v>
      </c>
      <c r="I15" s="597"/>
      <c r="J15" s="393">
        <v>38.33559029915056</v>
      </c>
      <c r="K15" s="599">
        <v>61.66440970084944</v>
      </c>
      <c r="L15" s="615">
        <v>0</v>
      </c>
      <c r="M15" s="597"/>
      <c r="N15" s="393">
        <v>46.433666191155496</v>
      </c>
      <c r="O15" s="599">
        <v>53.566333808844512</v>
      </c>
      <c r="P15" s="615">
        <v>0</v>
      </c>
      <c r="Q15" s="597"/>
      <c r="R15" s="393">
        <v>50.345915766476509</v>
      </c>
      <c r="S15" s="599">
        <v>49.654084233523491</v>
      </c>
      <c r="T15" s="615">
        <v>0</v>
      </c>
      <c r="U15" s="597"/>
      <c r="V15" s="393">
        <v>52.941176470588239</v>
      </c>
      <c r="W15" s="599">
        <v>47.058823529411761</v>
      </c>
      <c r="X15" s="615">
        <v>0</v>
      </c>
      <c r="Y15" s="597"/>
      <c r="Z15" s="393">
        <v>53.618090452261299</v>
      </c>
      <c r="AA15" s="599">
        <v>46.381909547738694</v>
      </c>
      <c r="AB15" s="615">
        <v>0</v>
      </c>
      <c r="AC15" s="598"/>
      <c r="AD15" s="393">
        <v>41.218058781941217</v>
      </c>
      <c r="AE15" s="599">
        <v>58.781941218058783</v>
      </c>
      <c r="AF15" s="615">
        <v>0</v>
      </c>
      <c r="AG15" s="598"/>
      <c r="AH15" s="393">
        <v>51.151241534988714</v>
      </c>
      <c r="AI15" s="599">
        <v>48.848758465011286</v>
      </c>
      <c r="AJ15" s="615">
        <v>0</v>
      </c>
      <c r="AK15" s="598"/>
      <c r="AL15" s="393">
        <v>41.853227587591604</v>
      </c>
      <c r="AM15" s="599">
        <v>58.146772412408389</v>
      </c>
      <c r="AN15" s="615">
        <v>0</v>
      </c>
      <c r="AO15" s="598"/>
      <c r="AP15" s="393">
        <v>38.330564784053159</v>
      </c>
      <c r="AQ15" s="599">
        <v>61.669435215946841</v>
      </c>
      <c r="AR15" s="615">
        <v>0</v>
      </c>
      <c r="AS15" s="598"/>
      <c r="AT15" s="393">
        <v>46.814715118887392</v>
      </c>
      <c r="AU15" s="599">
        <v>53.185284881112608</v>
      </c>
      <c r="AV15" s="615">
        <v>0</v>
      </c>
      <c r="AW15" s="598"/>
      <c r="AX15" s="393">
        <v>51.48632580261593</v>
      </c>
      <c r="AY15" s="599">
        <v>48.513674197384063</v>
      </c>
      <c r="AZ15" s="615">
        <v>0</v>
      </c>
      <c r="BA15" s="598"/>
      <c r="BB15" s="393">
        <v>51.162790697674424</v>
      </c>
      <c r="BC15" s="599">
        <v>48.837209302325576</v>
      </c>
      <c r="BD15" s="615">
        <v>0</v>
      </c>
      <c r="BE15" s="598"/>
      <c r="BF15" s="393">
        <v>55.696202531645568</v>
      </c>
      <c r="BG15" s="599">
        <v>44.303797468354425</v>
      </c>
      <c r="BH15" s="615">
        <v>0</v>
      </c>
      <c r="BI15" s="598"/>
      <c r="BJ15" s="393">
        <v>70.86413234776488</v>
      </c>
      <c r="BK15" s="599">
        <v>29.135867652235131</v>
      </c>
      <c r="BL15" s="615">
        <v>0</v>
      </c>
      <c r="BM15" s="598"/>
      <c r="BN15" s="393">
        <v>71.359094526483332</v>
      </c>
      <c r="BO15" s="599">
        <v>28.640905473516671</v>
      </c>
      <c r="BP15" s="615">
        <v>0</v>
      </c>
      <c r="BQ15" s="598"/>
      <c r="BR15" s="393">
        <v>72.455252214789368</v>
      </c>
      <c r="BS15" s="599">
        <v>27.544747785210632</v>
      </c>
      <c r="BT15" s="615">
        <v>0</v>
      </c>
      <c r="BU15" s="598"/>
      <c r="BV15" s="393">
        <v>73.933774834437088</v>
      </c>
      <c r="BW15" s="599">
        <v>26.066225165562912</v>
      </c>
      <c r="BX15" s="615">
        <v>0</v>
      </c>
      <c r="BY15" s="598"/>
      <c r="BZ15" s="393">
        <v>75</v>
      </c>
      <c r="CA15" s="599">
        <v>25</v>
      </c>
      <c r="CB15" s="615">
        <v>0</v>
      </c>
      <c r="CC15" s="598"/>
      <c r="CD15" s="393">
        <v>76.212678203174036</v>
      </c>
      <c r="CE15" s="599">
        <v>23.787321796825967</v>
      </c>
      <c r="CF15" s="615">
        <v>0</v>
      </c>
      <c r="CG15" s="598"/>
      <c r="CH15" s="393">
        <v>77.196596506941333</v>
      </c>
      <c r="CI15" s="599">
        <v>22.803403493058667</v>
      </c>
      <c r="CJ15" s="615">
        <v>0</v>
      </c>
      <c r="CK15" s="598"/>
      <c r="CL15" s="393">
        <v>75.888717156105102</v>
      </c>
      <c r="CM15" s="599">
        <v>24.111282843894898</v>
      </c>
      <c r="CN15" s="615">
        <v>0</v>
      </c>
      <c r="CO15" s="598"/>
      <c r="CP15" s="393">
        <v>78.040823935129083</v>
      </c>
      <c r="CQ15" s="599">
        <v>21.95917606487091</v>
      </c>
      <c r="CR15" s="615">
        <v>0</v>
      </c>
      <c r="CS15" s="598"/>
      <c r="CT15" s="393">
        <v>78.33694083694084</v>
      </c>
      <c r="CU15" s="599">
        <v>21.663059163059163</v>
      </c>
      <c r="CV15" s="615">
        <v>0</v>
      </c>
      <c r="CW15" s="598"/>
      <c r="CX15" s="393">
        <v>78.938745790479658</v>
      </c>
      <c r="CY15" s="599">
        <v>21.061254209520342</v>
      </c>
      <c r="CZ15" s="615">
        <v>0</v>
      </c>
      <c r="DA15" s="598"/>
      <c r="DB15" s="393">
        <v>80.670451473371187</v>
      </c>
      <c r="DC15" s="599">
        <v>19.329548526628816</v>
      </c>
      <c r="DD15" s="615">
        <v>0</v>
      </c>
      <c r="DE15" s="598"/>
      <c r="DF15" s="393">
        <v>78.427084244598021</v>
      </c>
      <c r="DG15" s="599">
        <v>21.572915755401979</v>
      </c>
      <c r="DH15" s="615">
        <v>0</v>
      </c>
      <c r="DI15" s="598"/>
      <c r="DJ15" s="393">
        <v>80.252266456444616</v>
      </c>
      <c r="DK15" s="599">
        <v>19.74773354355538</v>
      </c>
      <c r="DL15" s="615">
        <v>0</v>
      </c>
      <c r="DM15" s="598"/>
      <c r="DN15" s="393">
        <v>77.520777795201496</v>
      </c>
      <c r="DO15" s="599">
        <v>22.479222204798493</v>
      </c>
      <c r="DP15" s="615">
        <v>0</v>
      </c>
      <c r="DQ15" s="598"/>
      <c r="DR15" s="393">
        <v>74.568190699491993</v>
      </c>
      <c r="DS15" s="599">
        <v>25.431809300508014</v>
      </c>
      <c r="DT15" s="615">
        <v>0</v>
      </c>
      <c r="DU15" s="598"/>
      <c r="DV15" s="617">
        <v>75.2890625</v>
      </c>
      <c r="DW15" s="599">
        <v>24.7109375</v>
      </c>
      <c r="DX15" s="615">
        <v>0</v>
      </c>
      <c r="DY15" s="598"/>
      <c r="DZ15" s="617">
        <v>72.681036570598209</v>
      </c>
      <c r="EA15" s="599">
        <v>27.318963429401794</v>
      </c>
      <c r="EB15" s="615">
        <v>0</v>
      </c>
      <c r="EC15" s="598"/>
      <c r="ED15" s="617">
        <v>72.184684684684683</v>
      </c>
      <c r="EE15" s="599">
        <v>27.815315315315313</v>
      </c>
      <c r="EF15" s="615">
        <v>0</v>
      </c>
      <c r="EG15" s="598"/>
      <c r="EH15" s="617">
        <v>71.994589863950992</v>
      </c>
      <c r="EI15" s="599">
        <v>28.005410136049008</v>
      </c>
      <c r="EJ15" s="615">
        <v>0</v>
      </c>
      <c r="EK15" s="598"/>
      <c r="EL15" s="617">
        <v>69.584367742452145</v>
      </c>
      <c r="EM15" s="599">
        <v>30.415632257547848</v>
      </c>
      <c r="EN15" s="615">
        <v>0</v>
      </c>
      <c r="EO15" s="598"/>
      <c r="EP15" s="617">
        <v>67.346086375407239</v>
      </c>
      <c r="EQ15" s="599">
        <v>32.653913624592768</v>
      </c>
      <c r="ER15" s="615">
        <v>0</v>
      </c>
      <c r="ES15" s="598"/>
      <c r="ET15" s="617">
        <v>61.663126425930294</v>
      </c>
      <c r="EU15" s="599">
        <v>38.336873574069699</v>
      </c>
      <c r="EV15" s="615">
        <v>0</v>
      </c>
      <c r="EW15" s="598"/>
      <c r="EX15" s="617">
        <v>59.71371835181202</v>
      </c>
      <c r="EY15" s="599">
        <v>40.286281648187988</v>
      </c>
      <c r="EZ15" s="615">
        <v>0</v>
      </c>
      <c r="FA15" s="598"/>
      <c r="FB15" s="617">
        <v>58.476097242617065</v>
      </c>
      <c r="FC15" s="599">
        <v>41.523902757382935</v>
      </c>
      <c r="FD15" s="615">
        <v>0</v>
      </c>
      <c r="FE15" s="598"/>
      <c r="FF15" s="617">
        <v>56.434213879215157</v>
      </c>
      <c r="FG15" s="599">
        <v>43.565786120784843</v>
      </c>
      <c r="FH15" s="615">
        <v>0</v>
      </c>
      <c r="FI15" s="598"/>
      <c r="FJ15" s="617">
        <v>59.723523898781629</v>
      </c>
      <c r="FK15" s="599">
        <v>40.276476101218364</v>
      </c>
      <c r="FL15" s="615">
        <v>0</v>
      </c>
      <c r="FM15" s="598"/>
      <c r="FN15" s="617">
        <v>60.292072322670379</v>
      </c>
      <c r="FO15" s="599">
        <v>39.707927677329621</v>
      </c>
      <c r="FP15" s="615">
        <v>0</v>
      </c>
      <c r="FQ15" s="598"/>
      <c r="FR15" s="617">
        <v>60.923100751180982</v>
      </c>
      <c r="FS15" s="599">
        <v>39.076899248819018</v>
      </c>
      <c r="FT15" s="615">
        <v>0</v>
      </c>
      <c r="FU15" s="598"/>
      <c r="FV15" s="617">
        <v>60.155685739507256</v>
      </c>
      <c r="FW15" s="599">
        <v>39.844314260492737</v>
      </c>
      <c r="FX15" s="615">
        <v>0</v>
      </c>
      <c r="FY15" s="598"/>
      <c r="FZ15" s="617">
        <v>60.877082678403013</v>
      </c>
      <c r="GA15" s="599">
        <v>39.122917321596987</v>
      </c>
      <c r="GB15" s="615">
        <v>0</v>
      </c>
      <c r="GC15" s="598"/>
      <c r="GD15" s="617">
        <v>60.254346426271731</v>
      </c>
      <c r="GE15" s="599">
        <v>39.745653573728269</v>
      </c>
      <c r="GF15" s="615">
        <v>0</v>
      </c>
      <c r="GG15" s="598"/>
      <c r="GH15" s="617">
        <v>48.300471755171166</v>
      </c>
      <c r="GI15" s="599">
        <v>51.699528244828841</v>
      </c>
      <c r="GJ15" s="615">
        <v>0</v>
      </c>
      <c r="GK15" s="598"/>
      <c r="GL15" s="617">
        <v>54.440237193684361</v>
      </c>
      <c r="GM15" s="599">
        <v>45.559762806315632</v>
      </c>
      <c r="GN15" s="615">
        <v>0</v>
      </c>
      <c r="GO15" s="598"/>
      <c r="GP15" s="617">
        <v>57.125902012913031</v>
      </c>
      <c r="GQ15" s="599">
        <v>42.874097987086977</v>
      </c>
      <c r="GR15" s="615">
        <v>0</v>
      </c>
      <c r="GS15" s="598"/>
      <c r="GT15" s="617">
        <v>59.449838187702262</v>
      </c>
      <c r="GU15" s="599">
        <v>40.550161812297738</v>
      </c>
      <c r="GV15" s="615">
        <v>0</v>
      </c>
      <c r="GW15" s="598"/>
      <c r="GX15" s="617">
        <v>61.411378069902746</v>
      </c>
      <c r="GY15" s="599">
        <v>38.588621930097261</v>
      </c>
      <c r="GZ15" s="615">
        <v>0</v>
      </c>
      <c r="HA15" s="598"/>
      <c r="HB15" s="617">
        <v>63.108781797264477</v>
      </c>
      <c r="HC15" s="599">
        <v>36.891218202735523</v>
      </c>
      <c r="HD15" s="615">
        <v>0</v>
      </c>
      <c r="HE15" s="598"/>
      <c r="HF15" s="617">
        <v>64.562332152726427</v>
      </c>
      <c r="HG15" s="599">
        <v>35.437667847273573</v>
      </c>
      <c r="HH15" s="615">
        <v>0</v>
      </c>
      <c r="HI15" s="598"/>
      <c r="HJ15" s="617">
        <v>65.705486580491907</v>
      </c>
      <c r="HK15" s="599">
        <v>34.2945134195081</v>
      </c>
      <c r="HL15" s="615">
        <v>0</v>
      </c>
      <c r="HM15" s="598"/>
      <c r="HN15" s="617">
        <v>67.823231211880909</v>
      </c>
      <c r="HO15" s="599">
        <v>32.176768788119091</v>
      </c>
      <c r="HP15" s="615">
        <v>0</v>
      </c>
      <c r="HQ15" s="598"/>
      <c r="HR15" s="617">
        <v>68.03773841289123</v>
      </c>
      <c r="HS15" s="599">
        <v>31.962261587108763</v>
      </c>
      <c r="HT15" s="615">
        <v>0</v>
      </c>
      <c r="HU15" s="598"/>
      <c r="HV15" s="617">
        <v>69.863824748371812</v>
      </c>
      <c r="HW15" s="599">
        <v>30.136175251628185</v>
      </c>
      <c r="HX15" s="615">
        <v>0</v>
      </c>
      <c r="HY15" s="598"/>
      <c r="HZ15" s="617">
        <v>71.158425066427412</v>
      </c>
      <c r="IA15" s="599">
        <v>28.841574933572588</v>
      </c>
      <c r="IB15" s="615">
        <v>0</v>
      </c>
      <c r="IC15" s="598"/>
      <c r="ID15" s="617">
        <v>72.952482293086817</v>
      </c>
      <c r="IE15" s="599">
        <v>27.047517706913176</v>
      </c>
      <c r="IF15" s="615">
        <v>0</v>
      </c>
      <c r="IG15" s="598"/>
      <c r="IH15" s="617">
        <v>73.812572013826653</v>
      </c>
      <c r="II15" s="599">
        <v>26.187427986173343</v>
      </c>
      <c r="IJ15" s="615">
        <v>0</v>
      </c>
      <c r="IK15" s="598"/>
      <c r="IL15" s="617">
        <v>73.947251067082888</v>
      </c>
      <c r="IM15" s="599">
        <v>26.052748932917119</v>
      </c>
      <c r="IN15" s="615">
        <v>0</v>
      </c>
      <c r="IO15" s="598"/>
      <c r="IP15" s="617">
        <v>73.763766510496581</v>
      </c>
      <c r="IQ15" s="599">
        <v>26.236233489503409</v>
      </c>
      <c r="IR15" s="615">
        <v>0</v>
      </c>
      <c r="IS15" s="598"/>
      <c r="IT15" s="617">
        <v>73.994790818818174</v>
      </c>
      <c r="IU15" s="599">
        <v>26.005209181181833</v>
      </c>
      <c r="IV15" s="615">
        <v>0</v>
      </c>
      <c r="IW15" s="598"/>
      <c r="IX15" s="617">
        <v>73.750473149778657</v>
      </c>
      <c r="IY15" s="599">
        <v>26.249526850221351</v>
      </c>
      <c r="IZ15" s="615">
        <v>0</v>
      </c>
      <c r="JA15" s="598"/>
      <c r="JB15" s="617">
        <v>74.144103098151533</v>
      </c>
      <c r="JC15" s="599">
        <v>25.855896901848478</v>
      </c>
      <c r="JD15" s="615">
        <v>0</v>
      </c>
      <c r="JE15" s="598"/>
      <c r="JF15" s="617">
        <v>74.786141706167683</v>
      </c>
      <c r="JG15" s="599">
        <v>25.213858293832313</v>
      </c>
      <c r="JH15" s="615">
        <v>0</v>
      </c>
      <c r="JI15" s="598"/>
      <c r="JJ15" s="617">
        <v>75.216362407031781</v>
      </c>
      <c r="JK15" s="599">
        <v>24.783637592968223</v>
      </c>
      <c r="JL15" s="615">
        <v>0</v>
      </c>
      <c r="JM15" s="598"/>
      <c r="JN15" s="617">
        <v>75.615273230946826</v>
      </c>
      <c r="JO15" s="599">
        <v>24.384726769053174</v>
      </c>
      <c r="JP15" s="615">
        <v>0</v>
      </c>
      <c r="JQ15" s="598"/>
      <c r="JR15" s="617">
        <v>76.091695991549912</v>
      </c>
      <c r="JS15" s="599">
        <v>23.908304008450088</v>
      </c>
      <c r="JT15" s="615">
        <v>0</v>
      </c>
      <c r="JU15" s="598"/>
      <c r="JV15" s="617">
        <v>76.997606561903211</v>
      </c>
      <c r="JW15" s="599">
        <v>23.002393438096789</v>
      </c>
      <c r="JX15" s="1211">
        <v>0</v>
      </c>
      <c r="JY15" s="598"/>
      <c r="JZ15" s="617">
        <v>76.385143637867188</v>
      </c>
      <c r="KA15" s="599">
        <v>23.614856362132816</v>
      </c>
      <c r="KB15" s="1211">
        <v>0</v>
      </c>
      <c r="KC15" s="598"/>
      <c r="KD15" s="617">
        <v>77.265745007680493</v>
      </c>
      <c r="KE15" s="599">
        <v>22.734254992319507</v>
      </c>
      <c r="KF15" s="1211">
        <v>0</v>
      </c>
      <c r="KG15" s="598"/>
    </row>
    <row r="16" spans="1:293" x14ac:dyDescent="0.3">
      <c r="A16" s="616"/>
      <c r="B16" s="393"/>
      <c r="C16" s="599"/>
      <c r="D16" s="615"/>
      <c r="E16" s="597"/>
      <c r="F16" s="393"/>
      <c r="G16" s="599"/>
      <c r="H16" s="615"/>
      <c r="I16" s="597"/>
      <c r="J16" s="393"/>
      <c r="K16" s="599"/>
      <c r="L16" s="615"/>
      <c r="M16" s="597"/>
      <c r="N16" s="393"/>
      <c r="O16" s="599"/>
      <c r="P16" s="615"/>
      <c r="Q16" s="597"/>
      <c r="R16" s="603"/>
      <c r="S16" s="121"/>
      <c r="T16" s="121"/>
      <c r="U16" s="597"/>
      <c r="V16" s="603"/>
      <c r="W16" s="121"/>
      <c r="X16" s="121"/>
      <c r="Y16" s="597"/>
      <c r="Z16" s="603"/>
      <c r="AA16" s="121"/>
      <c r="AB16" s="121"/>
      <c r="AC16" s="598"/>
      <c r="AD16" s="603"/>
      <c r="AE16" s="121"/>
      <c r="AF16" s="121"/>
      <c r="AG16" s="598"/>
      <c r="AH16" s="603"/>
      <c r="AI16" s="121"/>
      <c r="AJ16" s="121"/>
      <c r="AK16" s="598"/>
      <c r="AL16" s="603"/>
      <c r="AM16" s="121"/>
      <c r="AN16" s="121"/>
      <c r="AO16" s="598"/>
      <c r="AP16" s="603"/>
      <c r="AQ16" s="121"/>
      <c r="AR16" s="121"/>
      <c r="AS16" s="598"/>
      <c r="AT16" s="603"/>
      <c r="AU16" s="121"/>
      <c r="AV16" s="121"/>
      <c r="AW16" s="598"/>
      <c r="AX16" s="603"/>
      <c r="AY16" s="121"/>
      <c r="AZ16" s="121"/>
      <c r="BA16" s="598"/>
      <c r="BB16" s="603"/>
      <c r="BC16" s="121"/>
      <c r="BD16" s="121"/>
      <c r="BE16" s="598"/>
      <c r="BF16" s="603"/>
      <c r="BG16" s="121"/>
      <c r="BH16" s="121"/>
      <c r="BI16" s="598"/>
      <c r="BJ16" s="603"/>
      <c r="BK16" s="121"/>
      <c r="BL16" s="121"/>
      <c r="BM16" s="598"/>
      <c r="BN16" s="603"/>
      <c r="BO16" s="121"/>
      <c r="BP16" s="121"/>
      <c r="BQ16" s="598"/>
      <c r="BR16" s="603"/>
      <c r="BS16" s="121"/>
      <c r="BT16" s="121"/>
      <c r="BU16" s="598"/>
      <c r="BV16" s="603"/>
      <c r="BW16" s="121"/>
      <c r="BX16" s="121"/>
      <c r="BY16" s="598"/>
      <c r="BZ16" s="603"/>
      <c r="CA16" s="121"/>
      <c r="CB16" s="121"/>
      <c r="CC16" s="598"/>
      <c r="CD16" s="603"/>
      <c r="CE16" s="121"/>
      <c r="CF16" s="121"/>
      <c r="CG16" s="598"/>
      <c r="CH16" s="603"/>
      <c r="CI16" s="121"/>
      <c r="CJ16" s="121"/>
      <c r="CK16" s="598"/>
      <c r="CL16" s="603"/>
      <c r="CM16" s="121"/>
      <c r="CN16" s="121"/>
      <c r="CO16" s="598"/>
      <c r="CP16" s="603"/>
      <c r="CQ16" s="121"/>
      <c r="CR16" s="121"/>
      <c r="CS16" s="598"/>
      <c r="CT16" s="603"/>
      <c r="CU16" s="121"/>
      <c r="CV16" s="121"/>
      <c r="CW16" s="598"/>
      <c r="CX16" s="603"/>
      <c r="CY16" s="121"/>
      <c r="CZ16" s="121"/>
      <c r="DA16" s="598"/>
      <c r="DB16" s="603"/>
      <c r="DC16" s="121"/>
      <c r="DD16" s="121"/>
      <c r="DE16" s="598"/>
      <c r="DF16" s="603"/>
      <c r="DG16" s="121"/>
      <c r="DH16" s="121"/>
      <c r="DI16" s="598"/>
      <c r="DJ16" s="603"/>
      <c r="DK16" s="121"/>
      <c r="DL16" s="121"/>
      <c r="DM16" s="598"/>
      <c r="DN16" s="603"/>
      <c r="DO16" s="121"/>
      <c r="DP16" s="121"/>
      <c r="DQ16" s="598"/>
      <c r="DR16" s="603"/>
      <c r="DS16" s="121"/>
      <c r="DT16" s="121"/>
      <c r="DU16" s="598"/>
      <c r="DV16" s="603"/>
      <c r="DW16" s="121"/>
      <c r="DX16" s="121"/>
      <c r="DY16" s="598"/>
      <c r="DZ16" s="603"/>
      <c r="EA16" s="121"/>
      <c r="EB16" s="121"/>
      <c r="EC16" s="598"/>
      <c r="ED16" s="603"/>
      <c r="EE16" s="121"/>
      <c r="EF16" s="121"/>
      <c r="EG16" s="598"/>
      <c r="EH16" s="603"/>
      <c r="EI16" s="121"/>
      <c r="EJ16" s="121"/>
      <c r="EK16" s="598"/>
      <c r="EL16" s="603"/>
      <c r="EM16" s="121"/>
      <c r="EN16" s="121"/>
      <c r="EO16" s="598"/>
      <c r="EP16" s="603"/>
      <c r="EQ16" s="121"/>
      <c r="ER16" s="121"/>
      <c r="ES16" s="598"/>
      <c r="ET16" s="603"/>
      <c r="EU16" s="121"/>
      <c r="EV16" s="121"/>
      <c r="EW16" s="598"/>
      <c r="EX16" s="603"/>
      <c r="EY16" s="121"/>
      <c r="EZ16" s="121"/>
      <c r="FA16" s="598"/>
      <c r="FB16" s="603"/>
      <c r="FC16" s="121"/>
      <c r="FD16" s="121"/>
      <c r="FE16" s="598"/>
      <c r="FF16" s="603"/>
      <c r="FG16" s="121"/>
      <c r="FH16" s="121"/>
      <c r="FI16" s="598"/>
      <c r="FJ16" s="603"/>
      <c r="FK16" s="121"/>
      <c r="FL16" s="121"/>
      <c r="FM16" s="598"/>
      <c r="FN16" s="603"/>
      <c r="FO16" s="121"/>
      <c r="FP16" s="121"/>
      <c r="FQ16" s="598"/>
      <c r="FR16" s="603"/>
      <c r="FS16" s="121"/>
      <c r="FT16" s="121"/>
      <c r="FU16" s="598"/>
      <c r="FV16" s="603"/>
      <c r="FW16" s="121"/>
      <c r="FX16" s="121"/>
      <c r="FY16" s="598"/>
      <c r="FZ16" s="603"/>
      <c r="GA16" s="121"/>
      <c r="GB16" s="121"/>
      <c r="GC16" s="598"/>
      <c r="GD16" s="603"/>
      <c r="GE16" s="121"/>
      <c r="GF16" s="121"/>
      <c r="GG16" s="598"/>
      <c r="GH16" s="603"/>
      <c r="GI16" s="121"/>
      <c r="GJ16" s="121"/>
      <c r="GK16" s="598"/>
      <c r="GL16" s="603"/>
      <c r="GM16" s="121"/>
      <c r="GN16" s="121"/>
      <c r="GO16" s="598"/>
      <c r="GP16" s="603"/>
      <c r="GQ16" s="121"/>
      <c r="GR16" s="121"/>
      <c r="GS16" s="598"/>
      <c r="GT16" s="603"/>
      <c r="GU16" s="121"/>
      <c r="GV16" s="121"/>
      <c r="GW16" s="598"/>
      <c r="GX16" s="603"/>
      <c r="GY16" s="121"/>
      <c r="GZ16" s="121"/>
      <c r="HA16" s="598"/>
      <c r="HB16" s="603"/>
      <c r="HC16" s="121"/>
      <c r="HD16" s="121"/>
      <c r="HE16" s="598"/>
      <c r="HF16" s="603"/>
      <c r="HG16" s="121"/>
      <c r="HH16" s="121"/>
      <c r="HI16" s="598"/>
      <c r="HJ16" s="603"/>
      <c r="HK16" s="121"/>
      <c r="HL16" s="121"/>
      <c r="HM16" s="598"/>
      <c r="HN16" s="603"/>
      <c r="HO16" s="121"/>
      <c r="HP16" s="121"/>
      <c r="HQ16" s="598"/>
      <c r="HR16" s="603"/>
      <c r="HS16" s="121"/>
      <c r="HT16" s="121"/>
      <c r="HU16" s="598"/>
      <c r="HV16" s="603"/>
      <c r="HW16" s="121"/>
      <c r="HX16" s="121"/>
      <c r="HY16" s="598"/>
      <c r="HZ16" s="603"/>
      <c r="IA16" s="121"/>
      <c r="IB16" s="121"/>
      <c r="IC16" s="598"/>
      <c r="ID16" s="603"/>
      <c r="IE16" s="121"/>
      <c r="IF16" s="121"/>
      <c r="IG16" s="598"/>
      <c r="IH16" s="603"/>
      <c r="II16" s="121"/>
      <c r="IJ16" s="121"/>
      <c r="IK16" s="598"/>
      <c r="IL16" s="603"/>
      <c r="IM16" s="121"/>
      <c r="IN16" s="121"/>
      <c r="IO16" s="598"/>
      <c r="IP16" s="603"/>
      <c r="IQ16" s="121"/>
      <c r="IR16" s="121"/>
      <c r="IS16" s="598"/>
      <c r="IT16" s="603"/>
      <c r="IU16" s="121"/>
      <c r="IV16" s="121"/>
      <c r="IW16" s="598"/>
      <c r="IX16" s="603"/>
      <c r="IY16" s="121"/>
      <c r="IZ16" s="121"/>
      <c r="JA16" s="598"/>
      <c r="JB16" s="603"/>
      <c r="JC16" s="121"/>
      <c r="JD16" s="121"/>
      <c r="JE16" s="598"/>
      <c r="JF16" s="603"/>
      <c r="JG16" s="121"/>
      <c r="JH16" s="121"/>
      <c r="JI16" s="598"/>
      <c r="JJ16" s="603"/>
      <c r="JK16" s="121"/>
      <c r="JL16" s="121"/>
      <c r="JM16" s="598"/>
      <c r="JN16" s="603"/>
      <c r="JO16" s="121"/>
      <c r="JP16" s="121"/>
      <c r="JQ16" s="598"/>
      <c r="JR16" s="603"/>
      <c r="JS16" s="121"/>
      <c r="JT16" s="121"/>
      <c r="JU16" s="598"/>
      <c r="JV16" s="603"/>
      <c r="JW16" s="121"/>
      <c r="JX16" s="121"/>
      <c r="JY16" s="598"/>
      <c r="JZ16" s="603"/>
      <c r="KA16" s="121"/>
      <c r="KB16" s="121"/>
      <c r="KC16" s="598"/>
      <c r="KD16" s="603"/>
      <c r="KE16" s="121"/>
      <c r="KF16" s="121"/>
      <c r="KG16" s="598"/>
    </row>
    <row r="17" spans="1:293" x14ac:dyDescent="0.3">
      <c r="A17" s="616"/>
      <c r="B17" s="393"/>
      <c r="C17" s="599"/>
      <c r="D17" s="615"/>
      <c r="E17" s="597"/>
      <c r="F17" s="393"/>
      <c r="G17" s="599"/>
      <c r="H17" s="615"/>
      <c r="I17" s="597"/>
      <c r="J17" s="393"/>
      <c r="K17" s="599"/>
      <c r="L17" s="615"/>
      <c r="M17" s="597"/>
      <c r="N17" s="393"/>
      <c r="O17" s="599"/>
      <c r="P17" s="615"/>
      <c r="Q17" s="597"/>
      <c r="R17" s="603"/>
      <c r="S17" s="121"/>
      <c r="T17" s="121"/>
      <c r="U17" s="597"/>
      <c r="V17" s="603"/>
      <c r="W17" s="121"/>
      <c r="X17" s="121"/>
      <c r="Y17" s="597"/>
      <c r="Z17" s="603"/>
      <c r="AA17" s="121"/>
      <c r="AB17" s="121"/>
      <c r="AC17" s="598"/>
      <c r="AD17" s="603"/>
      <c r="AE17" s="121"/>
      <c r="AF17" s="121"/>
      <c r="AG17" s="598"/>
      <c r="AH17" s="603"/>
      <c r="AI17" s="121"/>
      <c r="AJ17" s="121"/>
      <c r="AK17" s="598"/>
      <c r="AL17" s="603"/>
      <c r="AM17" s="121"/>
      <c r="AN17" s="121"/>
      <c r="AO17" s="598"/>
      <c r="AP17" s="603"/>
      <c r="AQ17" s="121"/>
      <c r="AR17" s="121"/>
      <c r="AS17" s="598"/>
      <c r="AT17" s="603"/>
      <c r="AU17" s="121"/>
      <c r="AV17" s="121"/>
      <c r="AW17" s="598"/>
      <c r="AX17" s="603"/>
      <c r="AY17" s="121"/>
      <c r="AZ17" s="121"/>
      <c r="BA17" s="598"/>
      <c r="BB17" s="603"/>
      <c r="BC17" s="121"/>
      <c r="BD17" s="121"/>
      <c r="BE17" s="598"/>
      <c r="BF17" s="603"/>
      <c r="BG17" s="121"/>
      <c r="BH17" s="121"/>
      <c r="BI17" s="598"/>
      <c r="BJ17" s="603"/>
      <c r="BK17" s="121"/>
      <c r="BL17" s="121"/>
      <c r="BM17" s="598"/>
      <c r="BN17" s="603"/>
      <c r="BO17" s="121"/>
      <c r="BP17" s="121"/>
      <c r="BQ17" s="598"/>
      <c r="BR17" s="603"/>
      <c r="BS17" s="121"/>
      <c r="BT17" s="121"/>
      <c r="BU17" s="598"/>
      <c r="BV17" s="603"/>
      <c r="BW17" s="121"/>
      <c r="BX17" s="121"/>
      <c r="BY17" s="598"/>
      <c r="BZ17" s="603"/>
      <c r="CA17" s="121"/>
      <c r="CB17" s="121"/>
      <c r="CC17" s="598"/>
      <c r="CD17" s="603"/>
      <c r="CE17" s="121"/>
      <c r="CF17" s="121"/>
      <c r="CG17" s="598"/>
      <c r="CH17" s="603"/>
      <c r="CI17" s="121"/>
      <c r="CJ17" s="121"/>
      <c r="CK17" s="598"/>
      <c r="CL17" s="603"/>
      <c r="CM17" s="121"/>
      <c r="CN17" s="121"/>
      <c r="CO17" s="598"/>
      <c r="CP17" s="603"/>
      <c r="CQ17" s="121"/>
      <c r="CR17" s="121"/>
      <c r="CS17" s="598"/>
      <c r="CT17" s="603"/>
      <c r="CU17" s="121"/>
      <c r="CV17" s="121"/>
      <c r="CW17" s="598"/>
      <c r="CX17" s="603"/>
      <c r="CY17" s="121"/>
      <c r="CZ17" s="121"/>
      <c r="DA17" s="598"/>
      <c r="DB17" s="603"/>
      <c r="DC17" s="121"/>
      <c r="DD17" s="121"/>
      <c r="DE17" s="598"/>
      <c r="DF17" s="603"/>
      <c r="DG17" s="121"/>
      <c r="DH17" s="121"/>
      <c r="DI17" s="598"/>
      <c r="DJ17" s="603"/>
      <c r="DK17" s="121"/>
      <c r="DL17" s="121"/>
      <c r="DM17" s="598"/>
      <c r="DN17" s="603"/>
      <c r="DO17" s="121"/>
      <c r="DP17" s="121"/>
      <c r="DQ17" s="598"/>
      <c r="DR17" s="603"/>
      <c r="DS17" s="121"/>
      <c r="DT17" s="121"/>
      <c r="DU17" s="598"/>
      <c r="DV17" s="603"/>
      <c r="DW17" s="121"/>
      <c r="DX17" s="121"/>
      <c r="DY17" s="598"/>
      <c r="DZ17" s="603"/>
      <c r="EA17" s="121"/>
      <c r="EB17" s="121"/>
      <c r="EC17" s="598"/>
      <c r="ED17" s="603"/>
      <c r="EE17" s="121"/>
      <c r="EF17" s="121"/>
      <c r="EG17" s="598"/>
      <c r="EH17" s="603"/>
      <c r="EI17" s="121"/>
      <c r="EJ17" s="121"/>
      <c r="EK17" s="598"/>
      <c r="EL17" s="603"/>
      <c r="EM17" s="121"/>
      <c r="EN17" s="121"/>
      <c r="EO17" s="598"/>
      <c r="EP17" s="603"/>
      <c r="EQ17" s="121"/>
      <c r="ER17" s="121"/>
      <c r="ES17" s="598"/>
      <c r="ET17" s="603"/>
      <c r="EU17" s="121"/>
      <c r="EV17" s="121"/>
      <c r="EW17" s="598"/>
      <c r="EX17" s="603"/>
      <c r="EY17" s="121"/>
      <c r="EZ17" s="121"/>
      <c r="FA17" s="598"/>
      <c r="FB17" s="603"/>
      <c r="FC17" s="121"/>
      <c r="FD17" s="121"/>
      <c r="FE17" s="598"/>
      <c r="FF17" s="603"/>
      <c r="FG17" s="121"/>
      <c r="FH17" s="121"/>
      <c r="FI17" s="598"/>
      <c r="FJ17" s="603"/>
      <c r="FK17" s="121"/>
      <c r="FL17" s="121"/>
      <c r="FM17" s="598"/>
      <c r="FN17" s="603"/>
      <c r="FO17" s="121"/>
      <c r="FP17" s="121"/>
      <c r="FQ17" s="598"/>
      <c r="FR17" s="603"/>
      <c r="FS17" s="121"/>
      <c r="FT17" s="121"/>
      <c r="FU17" s="598"/>
      <c r="FV17" s="603"/>
      <c r="FW17" s="121"/>
      <c r="FX17" s="121"/>
      <c r="FY17" s="598"/>
      <c r="FZ17" s="603"/>
      <c r="GA17" s="121"/>
      <c r="GB17" s="121"/>
      <c r="GC17" s="598"/>
      <c r="GD17" s="603"/>
      <c r="GE17" s="121"/>
      <c r="GF17" s="121"/>
      <c r="GG17" s="598"/>
      <c r="GH17" s="603"/>
      <c r="GI17" s="121"/>
      <c r="GJ17" s="121"/>
      <c r="GK17" s="598"/>
      <c r="GL17" s="603"/>
      <c r="GM17" s="121"/>
      <c r="GN17" s="121"/>
      <c r="GO17" s="598"/>
      <c r="GP17" s="603"/>
      <c r="GQ17" s="121"/>
      <c r="GR17" s="121"/>
      <c r="GS17" s="598"/>
      <c r="GT17" s="603"/>
      <c r="GU17" s="121"/>
      <c r="GV17" s="121"/>
      <c r="GW17" s="598"/>
      <c r="GX17" s="603"/>
      <c r="GY17" s="121"/>
      <c r="GZ17" s="121"/>
      <c r="HA17" s="598"/>
      <c r="HB17" s="603"/>
      <c r="HC17" s="121"/>
      <c r="HD17" s="121"/>
      <c r="HE17" s="598"/>
      <c r="HF17" s="603"/>
      <c r="HG17" s="121"/>
      <c r="HH17" s="121"/>
      <c r="HI17" s="598"/>
      <c r="HJ17" s="603"/>
      <c r="HK17" s="121"/>
      <c r="HL17" s="121"/>
      <c r="HM17" s="598"/>
      <c r="HN17" s="603"/>
      <c r="HO17" s="121"/>
      <c r="HP17" s="121"/>
      <c r="HQ17" s="598"/>
      <c r="HR17" s="603"/>
      <c r="HS17" s="121"/>
      <c r="HT17" s="121"/>
      <c r="HU17" s="598"/>
      <c r="HV17" s="603"/>
      <c r="HW17" s="121"/>
      <c r="HX17" s="121"/>
      <c r="HY17" s="598"/>
      <c r="HZ17" s="603"/>
      <c r="IA17" s="121"/>
      <c r="IB17" s="121"/>
      <c r="IC17" s="598"/>
      <c r="ID17" s="603"/>
      <c r="IE17" s="121"/>
      <c r="IF17" s="121"/>
      <c r="IG17" s="598"/>
      <c r="IH17" s="603"/>
      <c r="II17" s="121"/>
      <c r="IJ17" s="121"/>
      <c r="IK17" s="598"/>
      <c r="IL17" s="603"/>
      <c r="IM17" s="121"/>
      <c r="IN17" s="121"/>
      <c r="IO17" s="598"/>
      <c r="IP17" s="603"/>
      <c r="IQ17" s="121"/>
      <c r="IR17" s="121"/>
      <c r="IS17" s="598"/>
      <c r="IT17" s="603"/>
      <c r="IU17" s="121"/>
      <c r="IV17" s="121"/>
      <c r="IW17" s="598"/>
      <c r="IX17" s="603"/>
      <c r="IY17" s="121"/>
      <c r="IZ17" s="121"/>
      <c r="JA17" s="598"/>
      <c r="JB17" s="603"/>
      <c r="JC17" s="121"/>
      <c r="JD17" s="121"/>
      <c r="JE17" s="598"/>
      <c r="JF17" s="603"/>
      <c r="JG17" s="121"/>
      <c r="JH17" s="121"/>
      <c r="JI17" s="598"/>
      <c r="JJ17" s="603"/>
      <c r="JK17" s="121"/>
      <c r="JL17" s="121"/>
      <c r="JM17" s="598"/>
      <c r="JN17" s="603"/>
      <c r="JO17" s="121"/>
      <c r="JP17" s="121"/>
      <c r="JQ17" s="598"/>
      <c r="JR17" s="603"/>
      <c r="JS17" s="121"/>
      <c r="JT17" s="121"/>
      <c r="JU17" s="598"/>
      <c r="JV17" s="603"/>
      <c r="JW17" s="121"/>
      <c r="JX17" s="121"/>
      <c r="JY17" s="598"/>
      <c r="JZ17" s="603"/>
      <c r="KA17" s="121"/>
      <c r="KB17" s="121"/>
      <c r="KC17" s="598"/>
      <c r="KD17" s="603"/>
      <c r="KE17" s="121"/>
      <c r="KF17" s="121"/>
      <c r="KG17" s="598"/>
    </row>
    <row r="18" spans="1:293" x14ac:dyDescent="0.3">
      <c r="A18" s="616" t="s">
        <v>536</v>
      </c>
      <c r="B18" s="393"/>
      <c r="C18" s="599"/>
      <c r="D18" s="615"/>
      <c r="E18" s="597"/>
      <c r="F18" s="393"/>
      <c r="G18" s="599"/>
      <c r="H18" s="615"/>
      <c r="I18" s="597"/>
      <c r="J18" s="393"/>
      <c r="K18" s="599"/>
      <c r="L18" s="615"/>
      <c r="M18" s="597"/>
      <c r="N18" s="393"/>
      <c r="O18" s="599"/>
      <c r="P18" s="615"/>
      <c r="Q18" s="597"/>
      <c r="R18" s="603"/>
      <c r="S18" s="121"/>
      <c r="T18" s="121"/>
      <c r="U18" s="597"/>
      <c r="V18" s="603"/>
      <c r="W18" s="121"/>
      <c r="X18" s="121"/>
      <c r="Y18" s="597"/>
      <c r="Z18" s="603"/>
      <c r="AA18" s="121"/>
      <c r="AB18" s="121"/>
      <c r="AC18" s="598"/>
      <c r="AD18" s="603"/>
      <c r="AE18" s="121"/>
      <c r="AF18" s="121"/>
      <c r="AG18" s="598"/>
      <c r="AH18" s="603"/>
      <c r="AI18" s="121"/>
      <c r="AJ18" s="121"/>
      <c r="AK18" s="598"/>
      <c r="AL18" s="603"/>
      <c r="AM18" s="121"/>
      <c r="AN18" s="121"/>
      <c r="AO18" s="598"/>
      <c r="AP18" s="603"/>
      <c r="AQ18" s="121"/>
      <c r="AR18" s="121"/>
      <c r="AS18" s="598"/>
      <c r="AT18" s="603"/>
      <c r="AU18" s="121"/>
      <c r="AV18" s="121"/>
      <c r="AW18" s="598"/>
      <c r="AX18" s="603"/>
      <c r="AY18" s="121"/>
      <c r="AZ18" s="121"/>
      <c r="BA18" s="598"/>
      <c r="BB18" s="603"/>
      <c r="BC18" s="121"/>
      <c r="BD18" s="121"/>
      <c r="BE18" s="598"/>
      <c r="BF18" s="603"/>
      <c r="BG18" s="121"/>
      <c r="BH18" s="121"/>
      <c r="BI18" s="598"/>
      <c r="BJ18" s="603"/>
      <c r="BK18" s="121"/>
      <c r="BL18" s="121"/>
      <c r="BM18" s="598"/>
      <c r="BN18" s="603"/>
      <c r="BO18" s="121"/>
      <c r="BP18" s="121"/>
      <c r="BQ18" s="598"/>
      <c r="BR18" s="603"/>
      <c r="BS18" s="121"/>
      <c r="BT18" s="121"/>
      <c r="BU18" s="598"/>
      <c r="BV18" s="603"/>
      <c r="BW18" s="121"/>
      <c r="BX18" s="121"/>
      <c r="BY18" s="598"/>
      <c r="BZ18" s="603"/>
      <c r="CA18" s="121"/>
      <c r="CB18" s="121"/>
      <c r="CC18" s="598"/>
      <c r="CD18" s="603"/>
      <c r="CE18" s="121"/>
      <c r="CF18" s="121"/>
      <c r="CG18" s="598"/>
      <c r="CH18" s="603"/>
      <c r="CI18" s="121"/>
      <c r="CJ18" s="121"/>
      <c r="CK18" s="598"/>
      <c r="CL18" s="603"/>
      <c r="CM18" s="121"/>
      <c r="CN18" s="121"/>
      <c r="CO18" s="598"/>
      <c r="CP18" s="603"/>
      <c r="CQ18" s="121"/>
      <c r="CR18" s="121"/>
      <c r="CS18" s="598"/>
      <c r="CT18" s="603"/>
      <c r="CU18" s="121"/>
      <c r="CV18" s="121"/>
      <c r="CW18" s="598"/>
      <c r="CX18" s="603"/>
      <c r="CY18" s="121"/>
      <c r="CZ18" s="121"/>
      <c r="DA18" s="598"/>
      <c r="DB18" s="603"/>
      <c r="DC18" s="121"/>
      <c r="DD18" s="121"/>
      <c r="DE18" s="598"/>
      <c r="DF18" s="603"/>
      <c r="DG18" s="121"/>
      <c r="DH18" s="121"/>
      <c r="DI18" s="598"/>
      <c r="DJ18" s="603"/>
      <c r="DK18" s="121"/>
      <c r="DL18" s="121"/>
      <c r="DM18" s="598"/>
      <c r="DN18" s="603"/>
      <c r="DO18" s="121"/>
      <c r="DP18" s="121"/>
      <c r="DQ18" s="598"/>
      <c r="DR18" s="603"/>
      <c r="DS18" s="121"/>
      <c r="DT18" s="121"/>
      <c r="DU18" s="598"/>
      <c r="DV18" s="603"/>
      <c r="DW18" s="121"/>
      <c r="DX18" s="121"/>
      <c r="DY18" s="598"/>
      <c r="DZ18" s="603"/>
      <c r="EA18" s="121"/>
      <c r="EB18" s="121"/>
      <c r="EC18" s="598"/>
      <c r="ED18" s="603"/>
      <c r="EE18" s="121"/>
      <c r="EF18" s="121"/>
      <c r="EG18" s="598"/>
      <c r="EH18" s="603"/>
      <c r="EI18" s="121"/>
      <c r="EJ18" s="121"/>
      <c r="EK18" s="598"/>
      <c r="EL18" s="603"/>
      <c r="EM18" s="121"/>
      <c r="EN18" s="121"/>
      <c r="EO18" s="598"/>
      <c r="EP18" s="603"/>
      <c r="EQ18" s="121"/>
      <c r="ER18" s="121"/>
      <c r="ES18" s="598"/>
      <c r="ET18" s="603"/>
      <c r="EU18" s="121"/>
      <c r="EV18" s="121"/>
      <c r="EW18" s="598"/>
      <c r="EX18" s="603"/>
      <c r="EY18" s="121"/>
      <c r="EZ18" s="121"/>
      <c r="FA18" s="598"/>
      <c r="FB18" s="603"/>
      <c r="FC18" s="121"/>
      <c r="FD18" s="121"/>
      <c r="FE18" s="598"/>
      <c r="FF18" s="603"/>
      <c r="FG18" s="121"/>
      <c r="FH18" s="121"/>
      <c r="FI18" s="598"/>
      <c r="FJ18" s="603"/>
      <c r="FK18" s="121"/>
      <c r="FL18" s="121"/>
      <c r="FM18" s="598"/>
      <c r="FN18" s="603"/>
      <c r="FO18" s="121"/>
      <c r="FP18" s="121"/>
      <c r="FQ18" s="598"/>
      <c r="FR18" s="603"/>
      <c r="FS18" s="121"/>
      <c r="FT18" s="121"/>
      <c r="FU18" s="598"/>
      <c r="FV18" s="603"/>
      <c r="FW18" s="121"/>
      <c r="FX18" s="121"/>
      <c r="FY18" s="598"/>
      <c r="FZ18" s="603"/>
      <c r="GA18" s="121"/>
      <c r="GB18" s="121"/>
      <c r="GC18" s="598"/>
      <c r="GD18" s="603"/>
      <c r="GE18" s="121"/>
      <c r="GF18" s="121"/>
      <c r="GG18" s="598"/>
      <c r="GH18" s="603"/>
      <c r="GI18" s="121"/>
      <c r="GJ18" s="121"/>
      <c r="GK18" s="598"/>
      <c r="GL18" s="603"/>
      <c r="GM18" s="121"/>
      <c r="GN18" s="121"/>
      <c r="GO18" s="598"/>
      <c r="GP18" s="603"/>
      <c r="GQ18" s="121"/>
      <c r="GR18" s="121"/>
      <c r="GS18" s="598"/>
      <c r="GT18" s="603"/>
      <c r="GU18" s="121"/>
      <c r="GV18" s="121"/>
      <c r="GW18" s="598"/>
      <c r="GX18" s="603"/>
      <c r="GY18" s="121"/>
      <c r="GZ18" s="121"/>
      <c r="HA18" s="598"/>
      <c r="HB18" s="603"/>
      <c r="HC18" s="121"/>
      <c r="HD18" s="121"/>
      <c r="HE18" s="598"/>
      <c r="HF18" s="603"/>
      <c r="HG18" s="121"/>
      <c r="HH18" s="121"/>
      <c r="HI18" s="598"/>
      <c r="HJ18" s="603"/>
      <c r="HK18" s="121"/>
      <c r="HL18" s="121"/>
      <c r="HM18" s="598"/>
      <c r="HN18" s="603"/>
      <c r="HO18" s="121"/>
      <c r="HP18" s="121"/>
      <c r="HQ18" s="598"/>
      <c r="HR18" s="603"/>
      <c r="HS18" s="121"/>
      <c r="HT18" s="121"/>
      <c r="HU18" s="598"/>
      <c r="HV18" s="603"/>
      <c r="HW18" s="121"/>
      <c r="HX18" s="121"/>
      <c r="HY18" s="598"/>
      <c r="HZ18" s="603"/>
      <c r="IA18" s="121"/>
      <c r="IB18" s="121"/>
      <c r="IC18" s="598"/>
      <c r="ID18" s="603"/>
      <c r="IE18" s="121"/>
      <c r="IF18" s="121"/>
      <c r="IG18" s="598"/>
      <c r="IH18" s="603"/>
      <c r="II18" s="121"/>
      <c r="IJ18" s="121"/>
      <c r="IK18" s="598"/>
      <c r="IL18" s="603"/>
      <c r="IM18" s="121"/>
      <c r="IN18" s="121"/>
      <c r="IO18" s="598"/>
      <c r="IP18" s="603"/>
      <c r="IQ18" s="121"/>
      <c r="IR18" s="121"/>
      <c r="IS18" s="598"/>
      <c r="IT18" s="603"/>
      <c r="IU18" s="121"/>
      <c r="IV18" s="121"/>
      <c r="IW18" s="598"/>
      <c r="IX18" s="603"/>
      <c r="IY18" s="121"/>
      <c r="IZ18" s="121"/>
      <c r="JA18" s="598"/>
      <c r="JB18" s="603"/>
      <c r="JC18" s="121"/>
      <c r="JD18" s="121"/>
      <c r="JE18" s="598"/>
      <c r="JF18" s="603"/>
      <c r="JG18" s="121"/>
      <c r="JH18" s="121"/>
      <c r="JI18" s="598"/>
      <c r="JJ18" s="603"/>
      <c r="JK18" s="121"/>
      <c r="JL18" s="121"/>
      <c r="JM18" s="598"/>
      <c r="JN18" s="603"/>
      <c r="JO18" s="121"/>
      <c r="JP18" s="121"/>
      <c r="JQ18" s="598"/>
      <c r="JR18" s="603"/>
      <c r="JS18" s="121"/>
      <c r="JT18" s="121"/>
      <c r="JU18" s="598"/>
      <c r="JV18" s="603"/>
      <c r="JW18" s="121"/>
      <c r="JX18" s="121"/>
      <c r="JY18" s="598"/>
      <c r="JZ18" s="603"/>
      <c r="KA18" s="121"/>
      <c r="KB18" s="121"/>
      <c r="KC18" s="598"/>
      <c r="KD18" s="603"/>
      <c r="KE18" s="121"/>
      <c r="KF18" s="121"/>
      <c r="KG18" s="598"/>
    </row>
    <row r="19" spans="1:293" x14ac:dyDescent="0.3">
      <c r="A19" s="616"/>
      <c r="B19" s="393"/>
      <c r="C19" s="599"/>
      <c r="D19" s="615"/>
      <c r="E19" s="597"/>
      <c r="F19" s="393"/>
      <c r="G19" s="599"/>
      <c r="H19" s="615"/>
      <c r="I19" s="597"/>
      <c r="J19" s="393"/>
      <c r="K19" s="599"/>
      <c r="L19" s="615"/>
      <c r="M19" s="597"/>
      <c r="N19" s="393"/>
      <c r="O19" s="599"/>
      <c r="P19" s="615"/>
      <c r="Q19" s="597"/>
      <c r="R19" s="603"/>
      <c r="S19" s="121"/>
      <c r="T19" s="121"/>
      <c r="U19" s="597"/>
      <c r="V19" s="603"/>
      <c r="W19" s="121"/>
      <c r="X19" s="121"/>
      <c r="Y19" s="597"/>
      <c r="Z19" s="603"/>
      <c r="AA19" s="121"/>
      <c r="AB19" s="121"/>
      <c r="AC19" s="598"/>
      <c r="AD19" s="603"/>
      <c r="AE19" s="121"/>
      <c r="AF19" s="121"/>
      <c r="AG19" s="598"/>
      <c r="AH19" s="603"/>
      <c r="AI19" s="121"/>
      <c r="AJ19" s="121"/>
      <c r="AK19" s="598"/>
      <c r="AL19" s="603"/>
      <c r="AM19" s="121"/>
      <c r="AN19" s="121"/>
      <c r="AO19" s="598"/>
      <c r="AP19" s="603"/>
      <c r="AQ19" s="121"/>
      <c r="AR19" s="121"/>
      <c r="AS19" s="598"/>
      <c r="AT19" s="603"/>
      <c r="AU19" s="121"/>
      <c r="AV19" s="121"/>
      <c r="AW19" s="598"/>
      <c r="AX19" s="603"/>
      <c r="AY19" s="121"/>
      <c r="AZ19" s="121"/>
      <c r="BA19" s="598"/>
      <c r="BB19" s="603"/>
      <c r="BC19" s="121"/>
      <c r="BD19" s="121"/>
      <c r="BE19" s="598"/>
      <c r="BF19" s="603"/>
      <c r="BG19" s="121"/>
      <c r="BH19" s="121"/>
      <c r="BI19" s="598"/>
      <c r="BJ19" s="603"/>
      <c r="BK19" s="121"/>
      <c r="BL19" s="121"/>
      <c r="BM19" s="598"/>
      <c r="BN19" s="603"/>
      <c r="BO19" s="121"/>
      <c r="BP19" s="121"/>
      <c r="BQ19" s="598"/>
      <c r="BR19" s="603"/>
      <c r="BS19" s="121"/>
      <c r="BT19" s="121"/>
      <c r="BU19" s="598"/>
      <c r="BV19" s="603"/>
      <c r="BW19" s="121"/>
      <c r="BX19" s="121"/>
      <c r="BY19" s="598"/>
      <c r="BZ19" s="603"/>
      <c r="CA19" s="121"/>
      <c r="CB19" s="121"/>
      <c r="CC19" s="598"/>
      <c r="CD19" s="603"/>
      <c r="CE19" s="121"/>
      <c r="CF19" s="121"/>
      <c r="CG19" s="598"/>
      <c r="CH19" s="603"/>
      <c r="CI19" s="121"/>
      <c r="CJ19" s="121"/>
      <c r="CK19" s="598"/>
      <c r="CL19" s="603"/>
      <c r="CM19" s="121"/>
      <c r="CN19" s="121"/>
      <c r="CO19" s="598"/>
      <c r="CP19" s="603"/>
      <c r="CQ19" s="121"/>
      <c r="CR19" s="121"/>
      <c r="CS19" s="598"/>
      <c r="CT19" s="603"/>
      <c r="CU19" s="121"/>
      <c r="CV19" s="121"/>
      <c r="CW19" s="598"/>
      <c r="CX19" s="603"/>
      <c r="CY19" s="121"/>
      <c r="CZ19" s="121"/>
      <c r="DA19" s="598"/>
      <c r="DB19" s="603"/>
      <c r="DC19" s="121"/>
      <c r="DD19" s="121"/>
      <c r="DE19" s="598"/>
      <c r="DF19" s="603"/>
      <c r="DG19" s="121"/>
      <c r="DH19" s="121"/>
      <c r="DI19" s="598"/>
      <c r="DJ19" s="603"/>
      <c r="DK19" s="121"/>
      <c r="DL19" s="121"/>
      <c r="DM19" s="598"/>
      <c r="DN19" s="603"/>
      <c r="DO19" s="121"/>
      <c r="DP19" s="121"/>
      <c r="DQ19" s="598"/>
      <c r="DR19" s="603"/>
      <c r="DS19" s="121"/>
      <c r="DT19" s="121"/>
      <c r="DU19" s="598"/>
      <c r="DV19" s="603"/>
      <c r="DW19" s="121"/>
      <c r="DX19" s="121"/>
      <c r="DY19" s="598"/>
      <c r="DZ19" s="603"/>
      <c r="EA19" s="121"/>
      <c r="EB19" s="121"/>
      <c r="EC19" s="598"/>
      <c r="ED19" s="603"/>
      <c r="EE19" s="121"/>
      <c r="EF19" s="121"/>
      <c r="EG19" s="598"/>
      <c r="EH19" s="603"/>
      <c r="EI19" s="121"/>
      <c r="EJ19" s="121"/>
      <c r="EK19" s="598"/>
      <c r="EL19" s="603"/>
      <c r="EM19" s="121"/>
      <c r="EN19" s="121"/>
      <c r="EO19" s="598"/>
      <c r="EP19" s="603"/>
      <c r="EQ19" s="121"/>
      <c r="ER19" s="121"/>
      <c r="ES19" s="598"/>
      <c r="ET19" s="603"/>
      <c r="EU19" s="121"/>
      <c r="EV19" s="121"/>
      <c r="EW19" s="598"/>
      <c r="EX19" s="603"/>
      <c r="EY19" s="121"/>
      <c r="EZ19" s="121"/>
      <c r="FA19" s="598"/>
      <c r="FB19" s="603"/>
      <c r="FC19" s="121"/>
      <c r="FD19" s="121"/>
      <c r="FE19" s="598"/>
      <c r="FF19" s="603"/>
      <c r="FG19" s="121"/>
      <c r="FH19" s="121"/>
      <c r="FI19" s="598"/>
      <c r="FJ19" s="603"/>
      <c r="FK19" s="121"/>
      <c r="FL19" s="121"/>
      <c r="FM19" s="598"/>
      <c r="FN19" s="603"/>
      <c r="FO19" s="121"/>
      <c r="FP19" s="121"/>
      <c r="FQ19" s="598"/>
      <c r="FR19" s="603"/>
      <c r="FS19" s="121"/>
      <c r="FT19" s="121"/>
      <c r="FU19" s="598"/>
      <c r="FV19" s="603"/>
      <c r="FW19" s="121"/>
      <c r="FX19" s="121"/>
      <c r="FY19" s="598"/>
      <c r="FZ19" s="603"/>
      <c r="GA19" s="121"/>
      <c r="GB19" s="121"/>
      <c r="GC19" s="598"/>
      <c r="GD19" s="603"/>
      <c r="GE19" s="121"/>
      <c r="GF19" s="121"/>
      <c r="GG19" s="598"/>
      <c r="GH19" s="603"/>
      <c r="GI19" s="121"/>
      <c r="GJ19" s="121"/>
      <c r="GK19" s="598"/>
      <c r="GL19" s="603"/>
      <c r="GM19" s="121"/>
      <c r="GN19" s="121"/>
      <c r="GO19" s="598"/>
      <c r="GP19" s="603"/>
      <c r="GQ19" s="121"/>
      <c r="GR19" s="121"/>
      <c r="GS19" s="598"/>
      <c r="GT19" s="603"/>
      <c r="GU19" s="121"/>
      <c r="GV19" s="121"/>
      <c r="GW19" s="598"/>
      <c r="GX19" s="603"/>
      <c r="GY19" s="121"/>
      <c r="GZ19" s="121"/>
      <c r="HA19" s="598"/>
      <c r="HB19" s="603"/>
      <c r="HC19" s="121"/>
      <c r="HD19" s="121"/>
      <c r="HE19" s="598"/>
      <c r="HF19" s="603"/>
      <c r="HG19" s="121"/>
      <c r="HH19" s="121"/>
      <c r="HI19" s="598"/>
      <c r="HJ19" s="603"/>
      <c r="HK19" s="121"/>
      <c r="HL19" s="121"/>
      <c r="HM19" s="598"/>
      <c r="HN19" s="603"/>
      <c r="HO19" s="121"/>
      <c r="HP19" s="121"/>
      <c r="HQ19" s="598"/>
      <c r="HR19" s="603"/>
      <c r="HS19" s="121"/>
      <c r="HT19" s="121"/>
      <c r="HU19" s="598"/>
      <c r="HV19" s="603"/>
      <c r="HW19" s="121"/>
      <c r="HX19" s="121"/>
      <c r="HY19" s="598"/>
      <c r="HZ19" s="603"/>
      <c r="IA19" s="121"/>
      <c r="IB19" s="121"/>
      <c r="IC19" s="598"/>
      <c r="ID19" s="603"/>
      <c r="IE19" s="121"/>
      <c r="IF19" s="121"/>
      <c r="IG19" s="598"/>
      <c r="IH19" s="603"/>
      <c r="II19" s="121"/>
      <c r="IJ19" s="121"/>
      <c r="IK19" s="598"/>
      <c r="IL19" s="603"/>
      <c r="IM19" s="121"/>
      <c r="IN19" s="121"/>
      <c r="IO19" s="598"/>
      <c r="IP19" s="603"/>
      <c r="IQ19" s="121"/>
      <c r="IR19" s="121"/>
      <c r="IS19" s="598"/>
      <c r="IT19" s="603"/>
      <c r="IU19" s="121"/>
      <c r="IV19" s="121"/>
      <c r="IW19" s="598"/>
      <c r="IX19" s="603"/>
      <c r="IY19" s="121"/>
      <c r="IZ19" s="121"/>
      <c r="JA19" s="598"/>
      <c r="JB19" s="603"/>
      <c r="JC19" s="121"/>
      <c r="JD19" s="121"/>
      <c r="JE19" s="598"/>
      <c r="JF19" s="603"/>
      <c r="JG19" s="121"/>
      <c r="JH19" s="121"/>
      <c r="JI19" s="598"/>
      <c r="JJ19" s="603"/>
      <c r="JK19" s="121"/>
      <c r="JL19" s="121"/>
      <c r="JM19" s="598"/>
      <c r="JN19" s="603"/>
      <c r="JO19" s="121"/>
      <c r="JP19" s="121"/>
      <c r="JQ19" s="598"/>
      <c r="JR19" s="603"/>
      <c r="JS19" s="121"/>
      <c r="JT19" s="121"/>
      <c r="JU19" s="598"/>
      <c r="JV19" s="603"/>
      <c r="JW19" s="121"/>
      <c r="JX19" s="121"/>
      <c r="JY19" s="598"/>
      <c r="JZ19" s="603"/>
      <c r="KA19" s="121"/>
      <c r="KB19" s="121"/>
      <c r="KC19" s="598"/>
      <c r="KD19" s="603"/>
      <c r="KE19" s="121"/>
      <c r="KF19" s="121"/>
      <c r="KG19" s="598"/>
    </row>
    <row r="20" spans="1:293" x14ac:dyDescent="0.3">
      <c r="A20" s="614" t="s">
        <v>535</v>
      </c>
      <c r="B20" s="613">
        <v>15686.3</v>
      </c>
      <c r="C20" s="352">
        <v>9668.2000000000007</v>
      </c>
      <c r="D20" s="352">
        <v>761.9</v>
      </c>
      <c r="E20" s="612">
        <v>26116.400000000001</v>
      </c>
      <c r="F20" s="613">
        <v>13577.9</v>
      </c>
      <c r="G20" s="352">
        <v>8040</v>
      </c>
      <c r="H20" s="352">
        <v>669.3</v>
      </c>
      <c r="I20" s="612">
        <v>22287.199999999997</v>
      </c>
      <c r="J20" s="613">
        <v>11423.8</v>
      </c>
      <c r="K20" s="352">
        <v>8941.9</v>
      </c>
      <c r="L20" s="352">
        <v>519.70000000000005</v>
      </c>
      <c r="M20" s="612">
        <v>20885.400000000001</v>
      </c>
      <c r="N20" s="613">
        <v>12378.5</v>
      </c>
      <c r="O20" s="352">
        <v>8783.5</v>
      </c>
      <c r="P20" s="352">
        <v>733.3</v>
      </c>
      <c r="Q20" s="612">
        <v>21895.3</v>
      </c>
      <c r="R20" s="367">
        <v>11860</v>
      </c>
      <c r="S20" s="132">
        <v>9518</v>
      </c>
      <c r="T20" s="132">
        <v>940</v>
      </c>
      <c r="U20" s="612">
        <v>22318</v>
      </c>
      <c r="V20" s="367">
        <v>12791</v>
      </c>
      <c r="W20" s="132">
        <v>12889</v>
      </c>
      <c r="X20" s="132">
        <v>916</v>
      </c>
      <c r="Y20" s="612">
        <v>26596</v>
      </c>
      <c r="Z20" s="367">
        <v>12623</v>
      </c>
      <c r="AA20" s="132">
        <v>16697</v>
      </c>
      <c r="AB20" s="132">
        <v>901</v>
      </c>
      <c r="AC20" s="612">
        <v>30221</v>
      </c>
      <c r="AD20" s="367">
        <v>12108</v>
      </c>
      <c r="AE20" s="132">
        <v>18430</v>
      </c>
      <c r="AF20" s="132">
        <v>980</v>
      </c>
      <c r="AG20" s="612">
        <v>31518</v>
      </c>
      <c r="AH20" s="367">
        <v>13539</v>
      </c>
      <c r="AI20" s="132">
        <v>17533</v>
      </c>
      <c r="AJ20" s="132">
        <v>1019</v>
      </c>
      <c r="AK20" s="612">
        <v>32091</v>
      </c>
      <c r="AL20" s="367">
        <v>12130</v>
      </c>
      <c r="AM20" s="132">
        <v>18077</v>
      </c>
      <c r="AN20" s="132">
        <v>1171</v>
      </c>
      <c r="AO20" s="612">
        <v>31378</v>
      </c>
      <c r="AP20" s="367">
        <v>11792</v>
      </c>
      <c r="AQ20" s="132">
        <v>21034</v>
      </c>
      <c r="AR20" s="132">
        <v>1129</v>
      </c>
      <c r="AS20" s="612">
        <v>33955</v>
      </c>
      <c r="AT20" s="367">
        <v>12158</v>
      </c>
      <c r="AU20" s="132">
        <v>22404</v>
      </c>
      <c r="AV20" s="132">
        <v>1145</v>
      </c>
      <c r="AW20" s="612">
        <v>35707</v>
      </c>
      <c r="AX20" s="367">
        <v>12184</v>
      </c>
      <c r="AY20" s="132">
        <v>24491</v>
      </c>
      <c r="AZ20" s="132">
        <v>1071</v>
      </c>
      <c r="BA20" s="612">
        <v>37746</v>
      </c>
      <c r="BB20" s="367">
        <v>12079</v>
      </c>
      <c r="BC20" s="132">
        <v>24328</v>
      </c>
      <c r="BD20" s="132">
        <v>1088</v>
      </c>
      <c r="BE20" s="612">
        <v>37495</v>
      </c>
      <c r="BF20" s="367">
        <v>12884</v>
      </c>
      <c r="BG20" s="132">
        <v>25424</v>
      </c>
      <c r="BH20" s="132">
        <v>1080</v>
      </c>
      <c r="BI20" s="612">
        <v>39388</v>
      </c>
      <c r="BJ20" s="367">
        <v>16178</v>
      </c>
      <c r="BK20" s="132">
        <v>25400</v>
      </c>
      <c r="BL20" s="132">
        <v>1137</v>
      </c>
      <c r="BM20" s="612">
        <v>42715</v>
      </c>
      <c r="BN20" s="367">
        <v>16253</v>
      </c>
      <c r="BO20" s="609">
        <v>25255</v>
      </c>
      <c r="BP20" s="609">
        <v>1105</v>
      </c>
      <c r="BQ20" s="606">
        <v>42613</v>
      </c>
      <c r="BR20" s="367">
        <v>16734</v>
      </c>
      <c r="BS20" s="609">
        <v>27295</v>
      </c>
      <c r="BT20" s="609">
        <v>1317</v>
      </c>
      <c r="BU20" s="606">
        <v>45346</v>
      </c>
      <c r="BV20" s="367">
        <v>17653</v>
      </c>
      <c r="BW20" s="609">
        <v>27684</v>
      </c>
      <c r="BX20" s="609">
        <v>1270</v>
      </c>
      <c r="BY20" s="606">
        <v>46607</v>
      </c>
      <c r="BZ20" s="367">
        <v>18271</v>
      </c>
      <c r="CA20" s="609">
        <v>27464</v>
      </c>
      <c r="CB20" s="609">
        <v>1280</v>
      </c>
      <c r="CC20" s="606">
        <v>47015</v>
      </c>
      <c r="CD20" s="367">
        <v>19432</v>
      </c>
      <c r="CE20" s="609">
        <v>27783</v>
      </c>
      <c r="CF20" s="609">
        <v>1297</v>
      </c>
      <c r="CG20" s="606">
        <v>48512</v>
      </c>
      <c r="CH20" s="367">
        <v>20825</v>
      </c>
      <c r="CI20" s="609">
        <v>31432</v>
      </c>
      <c r="CJ20" s="609">
        <v>1438</v>
      </c>
      <c r="CK20" s="606">
        <v>53695</v>
      </c>
      <c r="CL20" s="367">
        <v>21334</v>
      </c>
      <c r="CM20" s="609">
        <v>33851</v>
      </c>
      <c r="CN20" s="609">
        <v>1447</v>
      </c>
      <c r="CO20" s="606">
        <v>56632</v>
      </c>
      <c r="CP20" s="367">
        <v>21867</v>
      </c>
      <c r="CQ20" s="609">
        <v>34590</v>
      </c>
      <c r="CR20" s="609">
        <v>1434</v>
      </c>
      <c r="CS20" s="606">
        <v>57891</v>
      </c>
      <c r="CT20" s="367">
        <v>21740</v>
      </c>
      <c r="CU20" s="609">
        <v>36732</v>
      </c>
      <c r="CV20" s="609">
        <v>1380</v>
      </c>
      <c r="CW20" s="606">
        <v>59852</v>
      </c>
      <c r="CX20" s="367">
        <v>21992</v>
      </c>
      <c r="CY20" s="609">
        <v>39065</v>
      </c>
      <c r="CZ20" s="609">
        <v>1386</v>
      </c>
      <c r="DA20" s="606">
        <v>62443</v>
      </c>
      <c r="DB20" s="367">
        <v>22305</v>
      </c>
      <c r="DC20" s="609">
        <v>38690</v>
      </c>
      <c r="DD20" s="609">
        <v>1403</v>
      </c>
      <c r="DE20" s="606">
        <v>62398</v>
      </c>
      <c r="DF20" s="367">
        <v>21545</v>
      </c>
      <c r="DG20" s="609">
        <v>39930</v>
      </c>
      <c r="DH20" s="609">
        <v>1385</v>
      </c>
      <c r="DI20" s="606">
        <v>62860</v>
      </c>
      <c r="DJ20" s="367">
        <v>24128</v>
      </c>
      <c r="DK20" s="609">
        <v>42999</v>
      </c>
      <c r="DL20" s="609">
        <v>1562</v>
      </c>
      <c r="DM20" s="606">
        <v>68689</v>
      </c>
      <c r="DN20" s="367">
        <v>23610</v>
      </c>
      <c r="DO20" s="609">
        <v>42347</v>
      </c>
      <c r="DP20" s="609">
        <v>1508</v>
      </c>
      <c r="DQ20" s="606">
        <v>67465</v>
      </c>
      <c r="DR20" s="367">
        <v>25179</v>
      </c>
      <c r="DS20" s="609">
        <v>40526</v>
      </c>
      <c r="DT20" s="609">
        <v>1642</v>
      </c>
      <c r="DU20" s="606">
        <v>67347</v>
      </c>
      <c r="DV20" s="367">
        <v>25748</v>
      </c>
      <c r="DW20" s="609">
        <v>40101</v>
      </c>
      <c r="DX20" s="609">
        <v>1627</v>
      </c>
      <c r="DY20" s="606">
        <v>67476</v>
      </c>
      <c r="DZ20" s="367">
        <v>25087</v>
      </c>
      <c r="EA20" s="609">
        <v>39814</v>
      </c>
      <c r="EB20" s="609">
        <v>1510</v>
      </c>
      <c r="EC20" s="606">
        <v>66411</v>
      </c>
      <c r="ED20" s="367">
        <v>26028</v>
      </c>
      <c r="EE20" s="609">
        <v>38387</v>
      </c>
      <c r="EF20" s="609">
        <v>1481</v>
      </c>
      <c r="EG20" s="606">
        <v>65896</v>
      </c>
      <c r="EH20" s="367">
        <v>25437</v>
      </c>
      <c r="EI20" s="609">
        <v>38779</v>
      </c>
      <c r="EJ20" s="609">
        <v>1457</v>
      </c>
      <c r="EK20" s="606">
        <v>65673</v>
      </c>
      <c r="EL20" s="367">
        <v>24199</v>
      </c>
      <c r="EM20" s="609">
        <v>38873</v>
      </c>
      <c r="EN20" s="609">
        <v>1052</v>
      </c>
      <c r="EO20" s="606">
        <v>64124</v>
      </c>
      <c r="EP20" s="611">
        <v>23916</v>
      </c>
      <c r="EQ20" s="610">
        <v>33211</v>
      </c>
      <c r="ER20" s="609">
        <v>947</v>
      </c>
      <c r="ES20" s="606">
        <v>58074</v>
      </c>
      <c r="ET20" s="605">
        <v>24411</v>
      </c>
      <c r="EU20" s="602">
        <v>33591</v>
      </c>
      <c r="EV20" s="602">
        <v>940</v>
      </c>
      <c r="EW20" s="608">
        <v>58942</v>
      </c>
      <c r="EX20" s="607">
        <v>23045.7</v>
      </c>
      <c r="EY20" s="602">
        <v>33129</v>
      </c>
      <c r="EZ20" s="602">
        <v>926</v>
      </c>
      <c r="FA20" s="606">
        <v>57100.7</v>
      </c>
      <c r="FB20" s="605">
        <v>23948</v>
      </c>
      <c r="FC20" s="602">
        <v>32508</v>
      </c>
      <c r="FD20" s="602">
        <v>930</v>
      </c>
      <c r="FE20" s="606">
        <v>57386</v>
      </c>
      <c r="FF20" s="605">
        <v>23555</v>
      </c>
      <c r="FG20" s="602">
        <v>31859</v>
      </c>
      <c r="FH20" s="602">
        <v>903</v>
      </c>
      <c r="FI20" s="601">
        <v>56317</v>
      </c>
      <c r="FJ20" s="605">
        <v>24446</v>
      </c>
      <c r="FK20" s="602">
        <v>32001</v>
      </c>
      <c r="FL20" s="602">
        <v>895</v>
      </c>
      <c r="FM20" s="601">
        <v>57342</v>
      </c>
      <c r="FN20" s="605">
        <v>23365</v>
      </c>
      <c r="FO20" s="602">
        <v>30860</v>
      </c>
      <c r="FP20" s="602">
        <v>795</v>
      </c>
      <c r="FQ20" s="601">
        <v>55020</v>
      </c>
      <c r="FR20" s="602">
        <v>23093</v>
      </c>
      <c r="FS20" s="602">
        <v>30446</v>
      </c>
      <c r="FT20" s="602">
        <v>788</v>
      </c>
      <c r="FU20" s="601">
        <v>54327</v>
      </c>
      <c r="FV20" s="604">
        <v>22184</v>
      </c>
      <c r="FW20" s="602">
        <v>29770</v>
      </c>
      <c r="FX20" s="602">
        <v>763</v>
      </c>
      <c r="FY20" s="601">
        <v>52717</v>
      </c>
      <c r="FZ20" s="602">
        <v>22428</v>
      </c>
      <c r="GA20" s="602">
        <v>30197</v>
      </c>
      <c r="GB20" s="602">
        <v>357</v>
      </c>
      <c r="GC20" s="601">
        <v>52982</v>
      </c>
      <c r="GD20" s="602">
        <v>21708</v>
      </c>
      <c r="GE20" s="602">
        <v>29577</v>
      </c>
      <c r="GF20" s="602">
        <v>342</v>
      </c>
      <c r="GG20" s="601">
        <v>51627</v>
      </c>
      <c r="GH20" s="602">
        <v>22306</v>
      </c>
      <c r="GI20" s="602">
        <v>33477.4</v>
      </c>
      <c r="GJ20" s="602">
        <v>343</v>
      </c>
      <c r="GK20" s="601">
        <v>56126.400000000001</v>
      </c>
      <c r="GL20" s="602">
        <v>25267.1</v>
      </c>
      <c r="GM20" s="602">
        <v>27617.599999999999</v>
      </c>
      <c r="GN20" s="602">
        <v>332.7</v>
      </c>
      <c r="GO20" s="601">
        <v>53217.399999999994</v>
      </c>
      <c r="GP20" s="602">
        <v>26844.5</v>
      </c>
      <c r="GQ20" s="602">
        <v>36702.699999999997</v>
      </c>
      <c r="GR20" s="602">
        <v>1205</v>
      </c>
      <c r="GS20" s="601">
        <v>64752.2</v>
      </c>
      <c r="GT20" s="602">
        <v>42801.899999999994</v>
      </c>
      <c r="GU20" s="602">
        <v>36558.300000000003</v>
      </c>
      <c r="GV20" s="602">
        <v>1226</v>
      </c>
      <c r="GW20" s="601">
        <v>80586.2</v>
      </c>
      <c r="GX20" s="602">
        <v>44240.85</v>
      </c>
      <c r="GY20" s="602">
        <v>36807</v>
      </c>
      <c r="GZ20" s="602">
        <v>1256</v>
      </c>
      <c r="HA20" s="601">
        <v>82303.850000000006</v>
      </c>
      <c r="HB20" s="602">
        <v>56535.1</v>
      </c>
      <c r="HC20" s="602">
        <v>35957</v>
      </c>
      <c r="HD20" s="602">
        <v>1069</v>
      </c>
      <c r="HE20" s="601">
        <v>93561.1</v>
      </c>
      <c r="HF20" s="602">
        <v>58654.400000000001</v>
      </c>
      <c r="HG20" s="602">
        <v>37843</v>
      </c>
      <c r="HH20" s="602">
        <v>1136</v>
      </c>
      <c r="HI20" s="601">
        <v>97633.4</v>
      </c>
      <c r="HJ20" s="602">
        <v>57542.100000000006</v>
      </c>
      <c r="HK20" s="602">
        <v>44816.800000000003</v>
      </c>
      <c r="HL20" s="602">
        <v>1123</v>
      </c>
      <c r="HM20" s="601">
        <v>103481.90000000001</v>
      </c>
      <c r="HN20" s="602">
        <v>58011.020000000004</v>
      </c>
      <c r="HO20" s="602">
        <v>44343.1</v>
      </c>
      <c r="HP20" s="602">
        <v>1155</v>
      </c>
      <c r="HQ20" s="601">
        <v>103509.12000000001</v>
      </c>
      <c r="HR20" s="602">
        <v>57875.74</v>
      </c>
      <c r="HS20" s="602">
        <v>44151.4</v>
      </c>
      <c r="HT20" s="602">
        <v>1170</v>
      </c>
      <c r="HU20" s="601">
        <v>103197.14</v>
      </c>
      <c r="HV20" s="602">
        <v>57808.9</v>
      </c>
      <c r="HW20" s="602">
        <v>42946.2</v>
      </c>
      <c r="HX20" s="602">
        <v>1130</v>
      </c>
      <c r="HY20" s="601">
        <v>101885.1</v>
      </c>
      <c r="HZ20" s="602">
        <v>54956.5</v>
      </c>
      <c r="IA20" s="602">
        <v>40371</v>
      </c>
      <c r="IB20" s="602">
        <v>1047</v>
      </c>
      <c r="IC20" s="601">
        <v>96374.5</v>
      </c>
      <c r="ID20" s="602">
        <v>58688.15</v>
      </c>
      <c r="IE20" s="602">
        <v>52126</v>
      </c>
      <c r="IF20" s="602">
        <v>1047</v>
      </c>
      <c r="IG20" s="601">
        <v>111861.15</v>
      </c>
      <c r="IH20" s="602">
        <v>61672</v>
      </c>
      <c r="II20" s="602">
        <v>54349</v>
      </c>
      <c r="IJ20" s="602">
        <v>1066</v>
      </c>
      <c r="IK20" s="601">
        <v>117087</v>
      </c>
      <c r="IL20" s="602">
        <v>60420</v>
      </c>
      <c r="IM20" s="602">
        <v>53840</v>
      </c>
      <c r="IN20" s="602">
        <v>1008</v>
      </c>
      <c r="IO20" s="601">
        <v>115268</v>
      </c>
      <c r="IP20" s="602">
        <v>57028.049999999988</v>
      </c>
      <c r="IQ20" s="602">
        <v>51040.7</v>
      </c>
      <c r="IR20" s="602">
        <v>968.6</v>
      </c>
      <c r="IS20" s="601">
        <v>109037.35</v>
      </c>
      <c r="IT20" s="602">
        <v>57965.4</v>
      </c>
      <c r="IU20" s="602">
        <v>54479</v>
      </c>
      <c r="IV20" s="602">
        <v>989</v>
      </c>
      <c r="IW20" s="601">
        <v>113433.4</v>
      </c>
      <c r="IX20" s="602">
        <v>58937.5</v>
      </c>
      <c r="IY20" s="602">
        <v>56011</v>
      </c>
      <c r="IZ20" s="602">
        <v>983</v>
      </c>
      <c r="JA20" s="601">
        <v>115931.5</v>
      </c>
      <c r="JB20" s="602">
        <v>58713</v>
      </c>
      <c r="JC20" s="602">
        <v>56479</v>
      </c>
      <c r="JD20" s="602">
        <v>996</v>
      </c>
      <c r="JE20" s="601">
        <v>116188</v>
      </c>
      <c r="JF20" s="602">
        <v>58655.4</v>
      </c>
      <c r="JG20" s="602">
        <v>66314</v>
      </c>
      <c r="JH20" s="602">
        <v>995</v>
      </c>
      <c r="JI20" s="601">
        <v>125964.4</v>
      </c>
      <c r="JJ20" s="602">
        <v>55653</v>
      </c>
      <c r="JK20" s="602">
        <v>69743</v>
      </c>
      <c r="JL20" s="602">
        <v>917.28</v>
      </c>
      <c r="JM20" s="601">
        <v>126313.28</v>
      </c>
      <c r="JN20" s="603">
        <v>55158.67</v>
      </c>
      <c r="JO20" s="602">
        <v>66386.960000000006</v>
      </c>
      <c r="JP20" s="602">
        <v>829</v>
      </c>
      <c r="JQ20" s="601">
        <v>122374.63</v>
      </c>
      <c r="JR20" s="602">
        <v>56442.619999999995</v>
      </c>
      <c r="JS20" s="602">
        <v>67234.315000000002</v>
      </c>
      <c r="JT20" s="602">
        <v>878</v>
      </c>
      <c r="JU20" s="601">
        <v>124554.935</v>
      </c>
      <c r="JV20" s="602">
        <v>56359.1</v>
      </c>
      <c r="JW20" s="602">
        <v>67197.13</v>
      </c>
      <c r="JX20" s="602">
        <v>891</v>
      </c>
      <c r="JY20" s="601">
        <v>124447.23000000001</v>
      </c>
      <c r="JZ20" s="602">
        <v>56032</v>
      </c>
      <c r="KA20" s="602">
        <v>69700</v>
      </c>
      <c r="KB20" s="602">
        <v>907</v>
      </c>
      <c r="KC20" s="601">
        <v>126639</v>
      </c>
      <c r="KD20" s="602">
        <v>56665</v>
      </c>
      <c r="KE20" s="602">
        <v>69300</v>
      </c>
      <c r="KF20" s="602">
        <v>829</v>
      </c>
      <c r="KG20" s="601">
        <v>126794</v>
      </c>
    </row>
    <row r="21" spans="1:293" x14ac:dyDescent="0.3">
      <c r="A21" s="600" t="s">
        <v>491</v>
      </c>
      <c r="B21" s="393">
        <v>60.063025531849711</v>
      </c>
      <c r="C21" s="599">
        <v>37.019650487816087</v>
      </c>
      <c r="D21" s="599">
        <v>2.9173239803341957</v>
      </c>
      <c r="E21" s="598"/>
      <c r="F21" s="393">
        <v>60.922412864783382</v>
      </c>
      <c r="G21" s="599">
        <v>36.074518109049144</v>
      </c>
      <c r="H21" s="599">
        <v>3.0030690261674864</v>
      </c>
      <c r="I21" s="598"/>
      <c r="J21" s="393">
        <v>54.697539908261263</v>
      </c>
      <c r="K21" s="599">
        <v>42.814118953910388</v>
      </c>
      <c r="L21" s="599">
        <v>2.4883411378283395</v>
      </c>
      <c r="M21" s="598"/>
      <c r="N21" s="393">
        <v>56.53496412472083</v>
      </c>
      <c r="O21" s="599">
        <v>40.115915287755818</v>
      </c>
      <c r="P21" s="599">
        <v>3.3491205875233501</v>
      </c>
      <c r="Q21" s="598"/>
      <c r="R21" s="393">
        <v>53.140962451832593</v>
      </c>
      <c r="S21" s="599">
        <v>42.647190608477466</v>
      </c>
      <c r="T21" s="599">
        <v>4.211846939689937</v>
      </c>
      <c r="U21" s="598"/>
      <c r="V21" s="393">
        <v>48.093698300496314</v>
      </c>
      <c r="W21" s="599">
        <v>48.46217476312227</v>
      </c>
      <c r="X21" s="599">
        <v>3.4441269363814109</v>
      </c>
      <c r="Y21" s="598"/>
      <c r="Z21" s="393">
        <v>41.768968597994771</v>
      </c>
      <c r="AA21" s="599">
        <v>55.249660831871871</v>
      </c>
      <c r="AB21" s="599">
        <v>2.9813705701333513</v>
      </c>
      <c r="AC21" s="598"/>
      <c r="AD21" s="393">
        <v>38.416143156291646</v>
      </c>
      <c r="AE21" s="599">
        <v>58.474522495082169</v>
      </c>
      <c r="AF21" s="599">
        <v>3.1093343486261817</v>
      </c>
      <c r="AG21" s="598"/>
      <c r="AH21" s="393">
        <v>42.189398896886978</v>
      </c>
      <c r="AI21" s="599">
        <v>54.63525599077623</v>
      </c>
      <c r="AJ21" s="599">
        <v>3.1753451123367924</v>
      </c>
      <c r="AK21" s="598"/>
      <c r="AL21" s="393">
        <v>38.657658231882209</v>
      </c>
      <c r="AM21" s="599">
        <v>57.610427688189183</v>
      </c>
      <c r="AN21" s="599">
        <v>3.7319140799286123</v>
      </c>
      <c r="AO21" s="598"/>
      <c r="AP21" s="393">
        <v>34.728316890001473</v>
      </c>
      <c r="AQ21" s="599">
        <v>61.946694154027391</v>
      </c>
      <c r="AR21" s="599">
        <v>3.3249889559711385</v>
      </c>
      <c r="AS21" s="598"/>
      <c r="AT21" s="393">
        <v>34.049346066597586</v>
      </c>
      <c r="AU21" s="599">
        <v>62.743999775954293</v>
      </c>
      <c r="AV21" s="599">
        <v>3.2066541574481198</v>
      </c>
      <c r="AW21" s="598"/>
      <c r="AX21" s="393">
        <v>32.278916971334709</v>
      </c>
      <c r="AY21" s="599">
        <v>64.883696285699145</v>
      </c>
      <c r="AZ21" s="599">
        <v>2.8373867429661424</v>
      </c>
      <c r="BA21" s="598"/>
      <c r="BB21" s="393">
        <v>32.214961994932658</v>
      </c>
      <c r="BC21" s="599">
        <v>64.883317775703432</v>
      </c>
      <c r="BD21" s="599">
        <v>2.9017202293639155</v>
      </c>
      <c r="BE21" s="598"/>
      <c r="BF21" s="393">
        <v>32.710470193967708</v>
      </c>
      <c r="BG21" s="599">
        <v>64.547577942520562</v>
      </c>
      <c r="BH21" s="599">
        <v>2.7419518635117295</v>
      </c>
      <c r="BI21" s="598"/>
      <c r="BJ21" s="393">
        <v>37.874283038745169</v>
      </c>
      <c r="BK21" s="599">
        <v>59.46388856373639</v>
      </c>
      <c r="BL21" s="599">
        <v>2.6618283975184358</v>
      </c>
      <c r="BM21" s="598"/>
      <c r="BN21" s="596">
        <v>38.140942904747376</v>
      </c>
      <c r="BO21" s="592">
        <v>59.265951704878795</v>
      </c>
      <c r="BP21" s="592">
        <v>2.5931053903738297</v>
      </c>
      <c r="BQ21" s="597"/>
      <c r="BR21" s="596">
        <v>36.90292418294888</v>
      </c>
      <c r="BS21" s="592">
        <v>60.192740263749833</v>
      </c>
      <c r="BT21" s="592">
        <v>2.9043355533012836</v>
      </c>
      <c r="BU21" s="597"/>
      <c r="BV21" s="596">
        <v>37.876284678267211</v>
      </c>
      <c r="BW21" s="592">
        <v>59.398802754950978</v>
      </c>
      <c r="BX21" s="592">
        <v>2.7249125667818141</v>
      </c>
      <c r="BY21" s="597"/>
      <c r="BZ21" s="596">
        <v>38.862065298309048</v>
      </c>
      <c r="CA21" s="592">
        <v>58.415399340635965</v>
      </c>
      <c r="CB21" s="592">
        <v>2.7225353610549825</v>
      </c>
      <c r="CC21" s="597"/>
      <c r="CD21" s="596">
        <v>40.056068601583114</v>
      </c>
      <c r="CE21" s="592">
        <v>57.270366094986805</v>
      </c>
      <c r="CF21" s="592">
        <v>2.6735653034300793</v>
      </c>
      <c r="CG21" s="597"/>
      <c r="CH21" s="596">
        <v>38.783871868889094</v>
      </c>
      <c r="CI21" s="592">
        <v>58.538038923549671</v>
      </c>
      <c r="CJ21" s="592">
        <v>2.6780892075612255</v>
      </c>
      <c r="CK21" s="597"/>
      <c r="CL21" s="596">
        <v>37.67128125441446</v>
      </c>
      <c r="CM21" s="592">
        <v>59.77362621839243</v>
      </c>
      <c r="CN21" s="591">
        <v>2.5550925271931062</v>
      </c>
      <c r="CO21" s="590"/>
      <c r="CP21" s="596">
        <v>37.772710784059697</v>
      </c>
      <c r="CQ21" s="592">
        <v>59.750220241488314</v>
      </c>
      <c r="CR21" s="591">
        <v>2.4770689744519876</v>
      </c>
      <c r="CS21" s="590"/>
      <c r="CT21" s="596">
        <v>36.322929893737886</v>
      </c>
      <c r="CU21" s="592">
        <v>61.371382744102121</v>
      </c>
      <c r="CV21" s="591">
        <v>2.3056873621599947</v>
      </c>
      <c r="CW21" s="590"/>
      <c r="CX21" s="596">
        <v>35.21932001985811</v>
      </c>
      <c r="CY21" s="592">
        <v>62.561055682782694</v>
      </c>
      <c r="CZ21" s="591">
        <v>2.2196242973591915</v>
      </c>
      <c r="DA21" s="590"/>
      <c r="DB21" s="596">
        <v>35.746338023654609</v>
      </c>
      <c r="DC21" s="592">
        <v>62.005192474117763</v>
      </c>
      <c r="DD21" s="591">
        <v>2.2484695022276355</v>
      </c>
      <c r="DE21" s="590"/>
      <c r="DF21" s="596">
        <v>34.274578428253264</v>
      </c>
      <c r="DG21" s="592">
        <v>63.522112631244035</v>
      </c>
      <c r="DH21" s="591">
        <v>2.2033089405027044</v>
      </c>
      <c r="DI21" s="590"/>
      <c r="DJ21" s="596">
        <v>35.126439459010903</v>
      </c>
      <c r="DK21" s="592">
        <v>62.599542867125749</v>
      </c>
      <c r="DL21" s="591">
        <v>2.2740176738633551</v>
      </c>
      <c r="DM21" s="590"/>
      <c r="DN21" s="596">
        <v>34.995923812347144</v>
      </c>
      <c r="DO21" s="592">
        <v>62.768843103831614</v>
      </c>
      <c r="DP21" s="591">
        <v>2.2352330838212406</v>
      </c>
      <c r="DQ21" s="590"/>
      <c r="DR21" s="596">
        <v>37.386966011849083</v>
      </c>
      <c r="DS21" s="592">
        <v>60.174914992501527</v>
      </c>
      <c r="DT21" s="591">
        <v>2.4381189956493978</v>
      </c>
      <c r="DU21" s="590"/>
      <c r="DV21" s="595">
        <v>38.158752741715574</v>
      </c>
      <c r="DW21" s="592">
        <v>59.430019562511113</v>
      </c>
      <c r="DX21" s="591">
        <v>2.4112276957733121</v>
      </c>
      <c r="DY21" s="590"/>
      <c r="DZ21" s="595">
        <v>37.775368538344551</v>
      </c>
      <c r="EA21" s="592">
        <v>59.950911746548009</v>
      </c>
      <c r="EB21" s="591">
        <v>2.2737197151074371</v>
      </c>
      <c r="EC21" s="590"/>
      <c r="ED21" s="595">
        <v>39.498603860628869</v>
      </c>
      <c r="EE21" s="592">
        <v>58.253915260410338</v>
      </c>
      <c r="EF21" s="591">
        <v>2.2474808789607867</v>
      </c>
      <c r="EG21" s="590"/>
      <c r="EH21" s="595">
        <v>38.732812571376364</v>
      </c>
      <c r="EI21" s="592">
        <v>59.048619676274875</v>
      </c>
      <c r="EJ21" s="591">
        <v>2.2185677523487586</v>
      </c>
      <c r="EK21" s="590"/>
      <c r="EL21" s="595">
        <v>37.737820472833882</v>
      </c>
      <c r="EM21" s="592">
        <v>60.621608134239914</v>
      </c>
      <c r="EN21" s="591">
        <v>1.6405713929262056</v>
      </c>
      <c r="EO21" s="590"/>
      <c r="EP21" s="593">
        <v>41.181940283087101</v>
      </c>
      <c r="EQ21" s="592">
        <v>57.187381616558184</v>
      </c>
      <c r="ER21" s="591">
        <v>1.6306781003547199</v>
      </c>
      <c r="ES21" s="590"/>
      <c r="ET21" s="593">
        <v>41.415289606732046</v>
      </c>
      <c r="EU21" s="592">
        <v>56.989922296494854</v>
      </c>
      <c r="EV21" s="591">
        <v>1.594788096773099</v>
      </c>
      <c r="EW21" s="590"/>
      <c r="EX21" s="593">
        <v>40.359750405861931</v>
      </c>
      <c r="EY21" s="592">
        <v>58.018553187614167</v>
      </c>
      <c r="EZ21" s="591">
        <v>1.621696406523913</v>
      </c>
      <c r="FA21" s="590"/>
      <c r="FB21" s="594">
        <v>41.731432753633293</v>
      </c>
      <c r="FC21" s="592">
        <v>56.647962917784824</v>
      </c>
      <c r="FD21" s="591">
        <v>1.6206043285818841</v>
      </c>
      <c r="FE21" s="590"/>
      <c r="FF21" s="593">
        <v>41.825736456132248</v>
      </c>
      <c r="FG21" s="592">
        <v>56.57084006605465</v>
      </c>
      <c r="FH21" s="591">
        <v>1.6034234778130936</v>
      </c>
      <c r="FI21" s="590"/>
      <c r="FJ21" s="593">
        <v>42.631927731854482</v>
      </c>
      <c r="FK21" s="592">
        <v>55.807261692999901</v>
      </c>
      <c r="FL21" s="591">
        <v>1.5608105751456176</v>
      </c>
      <c r="FM21" s="590"/>
      <c r="FN21" s="593">
        <v>42.466375863322433</v>
      </c>
      <c r="FO21" s="592">
        <v>56.088695019992727</v>
      </c>
      <c r="FP21" s="591">
        <v>1.4449291166848419</v>
      </c>
      <c r="FQ21" s="590"/>
      <c r="FR21" s="593">
        <v>42.507408839067132</v>
      </c>
      <c r="FS21" s="592">
        <v>56.042115338597753</v>
      </c>
      <c r="FT21" s="591">
        <v>1.4504758223351188</v>
      </c>
      <c r="FU21" s="590"/>
      <c r="FV21" s="593">
        <v>42.081302046778077</v>
      </c>
      <c r="FW21" s="592">
        <v>56.471347003812809</v>
      </c>
      <c r="FX21" s="591">
        <v>1.447350949409109</v>
      </c>
      <c r="FY21" s="590"/>
      <c r="FZ21" s="593">
        <v>42.331357819636857</v>
      </c>
      <c r="GA21" s="592">
        <v>56.994828432297759</v>
      </c>
      <c r="GB21" s="591">
        <v>0.67381374806538064</v>
      </c>
      <c r="GC21" s="590"/>
      <c r="GD21" s="593">
        <v>42.047765703992098</v>
      </c>
      <c r="GE21" s="592">
        <v>57.289790226044509</v>
      </c>
      <c r="GF21" s="591">
        <v>0.66244406996339122</v>
      </c>
      <c r="GG21" s="590"/>
      <c r="GH21" s="593">
        <v>39.742438495966248</v>
      </c>
      <c r="GI21" s="592">
        <v>59.646440890561301</v>
      </c>
      <c r="GJ21" s="591">
        <v>0.61112061347244795</v>
      </c>
      <c r="GK21" s="590"/>
      <c r="GL21" s="593">
        <v>47.479020019767972</v>
      </c>
      <c r="GM21" s="592">
        <v>51.895808513756783</v>
      </c>
      <c r="GN21" s="591">
        <v>0.62517146647525057</v>
      </c>
      <c r="GO21" s="590"/>
      <c r="GP21" s="593">
        <v>41.457278671612698</v>
      </c>
      <c r="GQ21" s="592">
        <v>56.681780696254336</v>
      </c>
      <c r="GR21" s="591">
        <v>1.8609406321329625</v>
      </c>
      <c r="GS21" s="590"/>
      <c r="GT21" s="593">
        <v>53.113188114093965</v>
      </c>
      <c r="GU21" s="592">
        <v>45.365459594818972</v>
      </c>
      <c r="GV21" s="591">
        <v>1.5213522910870596</v>
      </c>
      <c r="GW21" s="590"/>
      <c r="GX21" s="593">
        <v>53.753074734657005</v>
      </c>
      <c r="GY21" s="592">
        <v>44.720872717375912</v>
      </c>
      <c r="GZ21" s="591">
        <v>1.5260525479670755</v>
      </c>
      <c r="HA21" s="590"/>
      <c r="HB21" s="593">
        <v>60.425860747682528</v>
      </c>
      <c r="HC21" s="592">
        <v>38.431570385555538</v>
      </c>
      <c r="HD21" s="591">
        <v>1.1425688667619343</v>
      </c>
      <c r="HE21" s="590"/>
      <c r="HF21" s="593">
        <v>60.076162460797235</v>
      </c>
      <c r="HG21" s="592">
        <v>38.760301290337118</v>
      </c>
      <c r="HH21" s="591">
        <v>1.1635362488656547</v>
      </c>
      <c r="HI21" s="590"/>
      <c r="HJ21" s="593">
        <v>55.605956210699645</v>
      </c>
      <c r="HK21" s="592">
        <v>43.308829853336675</v>
      </c>
      <c r="HL21" s="591">
        <v>1.0852139359636805</v>
      </c>
      <c r="HM21" s="590"/>
      <c r="HN21" s="593">
        <v>56.044356284740907</v>
      </c>
      <c r="HO21" s="592">
        <v>42.839800009892841</v>
      </c>
      <c r="HP21" s="591">
        <v>1.1158437053662518</v>
      </c>
      <c r="HQ21" s="590"/>
      <c r="HR21" s="593">
        <v>56.082697640651666</v>
      </c>
      <c r="HS21" s="592">
        <v>42.783550009234759</v>
      </c>
      <c r="HT21" s="591">
        <v>1.1337523501135789</v>
      </c>
      <c r="HU21" s="590"/>
      <c r="HV21" s="593">
        <v>56.739307317753038</v>
      </c>
      <c r="HW21" s="592">
        <v>42.15160018491418</v>
      </c>
      <c r="HX21" s="591">
        <v>1.1090924973327798</v>
      </c>
      <c r="HY21" s="590"/>
      <c r="HZ21" s="593">
        <v>57.023901550721398</v>
      </c>
      <c r="IA21" s="592">
        <v>41.889711490072585</v>
      </c>
      <c r="IB21" s="591">
        <v>1.086386959206014</v>
      </c>
      <c r="IC21" s="590"/>
      <c r="ID21" s="593">
        <v>52.465176694500279</v>
      </c>
      <c r="IE21" s="592">
        <v>46.59884151021155</v>
      </c>
      <c r="IF21" s="591">
        <v>0.93598179528817638</v>
      </c>
      <c r="IG21" s="590"/>
      <c r="IH21" s="593">
        <v>52.671944793187976</v>
      </c>
      <c r="II21" s="592">
        <v>46.417621085175981</v>
      </c>
      <c r="IJ21" s="591">
        <v>0.91043412163604831</v>
      </c>
      <c r="IK21" s="590"/>
      <c r="IL21" s="593">
        <v>52.416976090502132</v>
      </c>
      <c r="IM21" s="592">
        <v>46.708540097858901</v>
      </c>
      <c r="IN21" s="591">
        <v>0.87448381163896316</v>
      </c>
      <c r="IO21" s="590"/>
      <c r="IP21" s="593">
        <v>52.301390303414365</v>
      </c>
      <c r="IQ21" s="592">
        <v>46.810290235410157</v>
      </c>
      <c r="IR21" s="591">
        <v>0.88831946117545957</v>
      </c>
      <c r="IS21" s="590"/>
      <c r="IT21" s="593">
        <v>51.100822156437175</v>
      </c>
      <c r="IU21" s="592">
        <v>48.02730060105754</v>
      </c>
      <c r="IV21" s="591">
        <v>0.87187724250529386</v>
      </c>
      <c r="IW21" s="590"/>
      <c r="IX21" s="593">
        <v>50.838210494990577</v>
      </c>
      <c r="IY21" s="592">
        <v>48.313875003773781</v>
      </c>
      <c r="IZ21" s="591">
        <v>0.84791450123564338</v>
      </c>
      <c r="JA21" s="590"/>
      <c r="JB21" s="593">
        <v>50.532757255482494</v>
      </c>
      <c r="JC21" s="592">
        <v>48.61001136089785</v>
      </c>
      <c r="JD21" s="591">
        <v>0.8572313836196509</v>
      </c>
      <c r="JE21" s="590"/>
      <c r="JF21" s="593">
        <v>46.565061239524816</v>
      </c>
      <c r="JG21" s="592">
        <v>52.645033041081447</v>
      </c>
      <c r="JH21" s="591">
        <v>0.78990571939373344</v>
      </c>
      <c r="JI21" s="590"/>
      <c r="JJ21" s="593">
        <v>44.059500315406268</v>
      </c>
      <c r="JK21" s="592">
        <v>55.214305257531116</v>
      </c>
      <c r="JL21" s="591">
        <v>0.72619442706261761</v>
      </c>
      <c r="JM21" s="590"/>
      <c r="JN21" s="593">
        <v>45.073615340042288</v>
      </c>
      <c r="JO21" s="592">
        <v>54.248956666916989</v>
      </c>
      <c r="JP21" s="591">
        <v>0.67742799304071444</v>
      </c>
      <c r="JQ21" s="590"/>
      <c r="JR21" s="593">
        <v>45.315442539470638</v>
      </c>
      <c r="JS21" s="592">
        <v>53.979647614925895</v>
      </c>
      <c r="JT21" s="591">
        <v>0.70490984560346803</v>
      </c>
      <c r="JU21" s="590"/>
      <c r="JV21" s="593">
        <v>45.287548786742775</v>
      </c>
      <c r="JW21" s="592">
        <v>53.996485096534485</v>
      </c>
      <c r="JX21" s="591">
        <v>0.71596611672272659</v>
      </c>
      <c r="JY21" s="590"/>
      <c r="JZ21" s="593">
        <v>44.245453612236361</v>
      </c>
      <c r="KA21" s="592">
        <v>55.038337321046441</v>
      </c>
      <c r="KB21" s="591">
        <v>0.71620906671720397</v>
      </c>
      <c r="KC21" s="590"/>
      <c r="KD21" s="593">
        <v>44.690600501601025</v>
      </c>
      <c r="KE21" s="592">
        <v>54.655583071754187</v>
      </c>
      <c r="KF21" s="591">
        <v>0.65381642664479389</v>
      </c>
      <c r="KG21" s="590"/>
    </row>
    <row r="22" spans="1:293" ht="14.5" thickBot="1" x14ac:dyDescent="0.35">
      <c r="A22" s="589"/>
      <c r="B22" s="585"/>
      <c r="C22" s="114"/>
      <c r="D22" s="114"/>
      <c r="E22" s="584"/>
      <c r="F22" s="585"/>
      <c r="G22" s="114"/>
      <c r="H22" s="114"/>
      <c r="I22" s="584"/>
      <c r="J22" s="585"/>
      <c r="K22" s="114"/>
      <c r="L22" s="114"/>
      <c r="M22" s="584"/>
      <c r="N22" s="585"/>
      <c r="O22" s="114"/>
      <c r="P22" s="114"/>
      <c r="Q22" s="584"/>
      <c r="R22" s="588"/>
      <c r="S22" s="587"/>
      <c r="T22" s="587"/>
      <c r="U22" s="586"/>
      <c r="V22" s="588"/>
      <c r="W22" s="587"/>
      <c r="X22" s="587"/>
      <c r="Y22" s="586"/>
      <c r="Z22" s="588"/>
      <c r="AA22" s="587"/>
      <c r="AB22" s="587"/>
      <c r="AC22" s="586"/>
      <c r="AD22" s="588"/>
      <c r="AE22" s="587"/>
      <c r="AF22" s="587"/>
      <c r="AG22" s="586"/>
      <c r="AH22" s="585"/>
      <c r="AI22" s="114"/>
      <c r="AJ22" s="114"/>
      <c r="AK22" s="584"/>
      <c r="AL22" s="585"/>
      <c r="AM22" s="114"/>
      <c r="AN22" s="114"/>
      <c r="AO22" s="584"/>
      <c r="AP22" s="585"/>
      <c r="AQ22" s="114"/>
      <c r="AR22" s="114"/>
      <c r="AS22" s="584"/>
      <c r="AT22" s="585"/>
      <c r="AU22" s="114"/>
      <c r="AV22" s="114"/>
      <c r="AW22" s="584"/>
      <c r="AX22" s="585"/>
      <c r="AY22" s="114"/>
      <c r="AZ22" s="114"/>
      <c r="BA22" s="584"/>
      <c r="BB22" s="585"/>
      <c r="BC22" s="114"/>
      <c r="BD22" s="114"/>
      <c r="BE22" s="584"/>
      <c r="BF22" s="585"/>
      <c r="BG22" s="114"/>
      <c r="BH22" s="114"/>
      <c r="BI22" s="584"/>
      <c r="BJ22" s="585"/>
      <c r="BK22" s="114"/>
      <c r="BL22" s="114"/>
      <c r="BM22" s="584"/>
      <c r="BN22" s="585"/>
      <c r="BO22" s="114"/>
      <c r="BP22" s="114"/>
      <c r="BQ22" s="584"/>
      <c r="BR22" s="585"/>
      <c r="BS22" s="114"/>
      <c r="BT22" s="114"/>
      <c r="BU22" s="584"/>
      <c r="BV22" s="585"/>
      <c r="BW22" s="114"/>
      <c r="BX22" s="114"/>
      <c r="BY22" s="584"/>
      <c r="BZ22" s="585"/>
      <c r="CA22" s="114"/>
      <c r="CB22" s="114"/>
      <c r="CC22" s="584"/>
      <c r="CD22" s="585"/>
      <c r="CE22" s="114"/>
      <c r="CF22" s="114"/>
      <c r="CG22" s="584"/>
      <c r="CH22" s="585"/>
      <c r="CI22" s="114"/>
      <c r="CJ22" s="114"/>
      <c r="CK22" s="584"/>
      <c r="CL22" s="585"/>
      <c r="CM22" s="114"/>
      <c r="CN22" s="114"/>
      <c r="CO22" s="584"/>
      <c r="CP22" s="585"/>
      <c r="CQ22" s="114"/>
      <c r="CR22" s="114"/>
      <c r="CS22" s="584"/>
      <c r="CT22" s="585"/>
      <c r="CU22" s="114"/>
      <c r="CV22" s="114"/>
      <c r="CW22" s="584"/>
      <c r="CX22" s="585"/>
      <c r="CY22" s="114"/>
      <c r="CZ22" s="114"/>
      <c r="DA22" s="584"/>
      <c r="DB22" s="585"/>
      <c r="DC22" s="114"/>
      <c r="DD22" s="114"/>
      <c r="DE22" s="584"/>
      <c r="DF22" s="585"/>
      <c r="DG22" s="114"/>
      <c r="DH22" s="114"/>
      <c r="DI22" s="584"/>
      <c r="DJ22" s="585"/>
      <c r="DK22" s="114"/>
      <c r="DL22" s="114"/>
      <c r="DM22" s="584"/>
      <c r="DN22" s="585"/>
      <c r="DO22" s="114"/>
      <c r="DP22" s="114"/>
      <c r="DQ22" s="584"/>
      <c r="DR22" s="585"/>
      <c r="DS22" s="114"/>
      <c r="DT22" s="114"/>
      <c r="DU22" s="584"/>
      <c r="DV22" s="585"/>
      <c r="DW22" s="114"/>
      <c r="DX22" s="114"/>
      <c r="DY22" s="584"/>
      <c r="DZ22" s="585"/>
      <c r="EA22" s="114"/>
      <c r="EB22" s="114"/>
      <c r="EC22" s="584"/>
      <c r="ED22" s="585"/>
      <c r="EE22" s="114"/>
      <c r="EF22" s="114"/>
      <c r="EG22" s="584"/>
      <c r="EH22" s="585"/>
      <c r="EI22" s="114"/>
      <c r="EJ22" s="114"/>
      <c r="EK22" s="584"/>
      <c r="EL22" s="585"/>
      <c r="EM22" s="114"/>
      <c r="EN22" s="114"/>
      <c r="EO22" s="584"/>
      <c r="EP22" s="585"/>
      <c r="EQ22" s="114"/>
      <c r="ER22" s="114"/>
      <c r="ES22" s="584"/>
      <c r="ET22" s="585"/>
      <c r="EU22" s="114"/>
      <c r="EV22" s="114"/>
      <c r="EW22" s="584"/>
      <c r="EX22" s="585"/>
      <c r="EY22" s="114"/>
      <c r="EZ22" s="114"/>
      <c r="FA22" s="584"/>
      <c r="FB22" s="585"/>
      <c r="FC22" s="114"/>
      <c r="FD22" s="114"/>
      <c r="FE22" s="584"/>
      <c r="FF22" s="585"/>
      <c r="FG22" s="114"/>
      <c r="FH22" s="114"/>
      <c r="FI22" s="584"/>
      <c r="FJ22" s="585"/>
      <c r="FK22" s="114"/>
      <c r="FL22" s="114"/>
      <c r="FM22" s="584"/>
      <c r="FN22" s="585"/>
      <c r="FO22" s="114"/>
      <c r="FP22" s="114"/>
      <c r="FQ22" s="584"/>
      <c r="FR22" s="585"/>
      <c r="FS22" s="114"/>
      <c r="FT22" s="114"/>
      <c r="FU22" s="584"/>
      <c r="FV22" s="585"/>
      <c r="FW22" s="114"/>
      <c r="FX22" s="114"/>
      <c r="FY22" s="584"/>
      <c r="FZ22" s="585"/>
      <c r="GA22" s="114"/>
      <c r="GB22" s="114"/>
      <c r="GC22" s="584"/>
      <c r="GD22" s="585"/>
      <c r="GE22" s="114"/>
      <c r="GF22" s="114"/>
      <c r="GG22" s="584"/>
      <c r="GH22" s="585"/>
      <c r="GI22" s="114"/>
      <c r="GJ22" s="114"/>
      <c r="GK22" s="584"/>
      <c r="GL22" s="585"/>
      <c r="GM22" s="114"/>
      <c r="GN22" s="114"/>
      <c r="GO22" s="584"/>
      <c r="GP22" s="585"/>
      <c r="GQ22" s="114"/>
      <c r="GR22" s="114"/>
      <c r="GS22" s="584"/>
      <c r="GT22" s="585"/>
      <c r="GU22" s="114"/>
      <c r="GV22" s="114"/>
      <c r="GW22" s="584"/>
      <c r="GX22" s="585"/>
      <c r="GY22" s="114"/>
      <c r="GZ22" s="114"/>
      <c r="HA22" s="584"/>
      <c r="HB22" s="585"/>
      <c r="HC22" s="114"/>
      <c r="HD22" s="114"/>
      <c r="HE22" s="584"/>
      <c r="HF22" s="585"/>
      <c r="HG22" s="114"/>
      <c r="HH22" s="114"/>
      <c r="HI22" s="584"/>
      <c r="HJ22" s="585"/>
      <c r="HK22" s="114"/>
      <c r="HL22" s="114"/>
      <c r="HM22" s="584"/>
      <c r="HN22" s="585"/>
      <c r="HO22" s="114"/>
      <c r="HP22" s="114"/>
      <c r="HQ22" s="584"/>
      <c r="HR22" s="585"/>
      <c r="HS22" s="114"/>
      <c r="HT22" s="114"/>
      <c r="HU22" s="584"/>
      <c r="HV22" s="585"/>
      <c r="HW22" s="114"/>
      <c r="HX22" s="114"/>
      <c r="HY22" s="584"/>
      <c r="HZ22" s="585"/>
      <c r="IA22" s="114"/>
      <c r="IB22" s="114"/>
      <c r="IC22" s="584"/>
      <c r="ID22" s="585"/>
      <c r="IE22" s="114"/>
      <c r="IF22" s="114"/>
      <c r="IG22" s="584"/>
      <c r="IH22" s="585"/>
      <c r="II22" s="114"/>
      <c r="IJ22" s="114"/>
      <c r="IK22" s="584"/>
      <c r="IL22" s="585"/>
      <c r="IM22" s="114"/>
      <c r="IN22" s="114"/>
      <c r="IO22" s="584"/>
      <c r="IP22" s="585"/>
      <c r="IQ22" s="114"/>
      <c r="IR22" s="114"/>
      <c r="IS22" s="584"/>
      <c r="IT22" s="585"/>
      <c r="IU22" s="114"/>
      <c r="IV22" s="114"/>
      <c r="IW22" s="584"/>
      <c r="IX22" s="585"/>
      <c r="IY22" s="114"/>
      <c r="IZ22" s="114"/>
      <c r="JA22" s="584"/>
      <c r="JB22" s="585"/>
      <c r="JC22" s="114"/>
      <c r="JD22" s="114"/>
      <c r="JE22" s="584"/>
      <c r="JF22" s="585"/>
      <c r="JG22" s="114"/>
      <c r="JH22" s="114"/>
      <c r="JI22" s="584"/>
      <c r="JJ22" s="585"/>
      <c r="JK22" s="114"/>
      <c r="JL22" s="114"/>
      <c r="JM22" s="584"/>
      <c r="JN22" s="585"/>
      <c r="JO22" s="114"/>
      <c r="JP22" s="114"/>
      <c r="JQ22" s="584"/>
      <c r="JR22" s="585"/>
      <c r="JS22" s="114"/>
      <c r="JT22" s="114"/>
      <c r="JU22" s="584"/>
      <c r="JV22" s="585"/>
      <c r="JW22" s="114"/>
      <c r="JX22" s="114"/>
      <c r="JY22" s="584"/>
      <c r="JZ22" s="585"/>
      <c r="KA22" s="114"/>
      <c r="KB22" s="114"/>
      <c r="KC22" s="584"/>
      <c r="KD22" s="585"/>
      <c r="KE22" s="114"/>
      <c r="KF22" s="114"/>
      <c r="KG22" s="584"/>
    </row>
    <row r="23" spans="1:293" ht="6.75" customHeight="1" thickTop="1" x14ac:dyDescent="0.3"/>
    <row r="24" spans="1:293" ht="17.399999999999999" customHeight="1" x14ac:dyDescent="0.3">
      <c r="A24" s="1328" t="s">
        <v>534</v>
      </c>
      <c r="B24" s="1328"/>
      <c r="C24" s="1328"/>
      <c r="D24" s="1328"/>
      <c r="E24" s="1328"/>
      <c r="F24" s="1328"/>
      <c r="G24" s="1328"/>
      <c r="H24" s="1328"/>
      <c r="I24" s="1328"/>
      <c r="J24" s="1328"/>
      <c r="K24" s="1328"/>
      <c r="L24" s="1328"/>
      <c r="M24" s="1328"/>
      <c r="N24" s="1328"/>
      <c r="O24" s="1328"/>
      <c r="P24" s="1328"/>
      <c r="Q24" s="1328"/>
      <c r="R24" s="1328"/>
      <c r="S24" s="1328"/>
      <c r="T24" s="1328"/>
      <c r="U24" s="1328"/>
      <c r="V24" s="1328"/>
      <c r="W24" s="1328"/>
      <c r="X24" s="1328"/>
      <c r="Y24" s="1328"/>
      <c r="Z24" s="1328"/>
      <c r="AA24" s="1328"/>
      <c r="AB24" s="1328"/>
      <c r="AC24" s="1328"/>
      <c r="AD24" s="1328"/>
      <c r="AE24" s="1328"/>
      <c r="AF24" s="1328"/>
      <c r="AG24" s="1328"/>
      <c r="AH24" s="1328"/>
      <c r="AI24" s="1328"/>
      <c r="AJ24" s="1328"/>
      <c r="AK24" s="1328"/>
      <c r="AL24" s="1328"/>
      <c r="AM24" s="1328"/>
      <c r="AN24" s="1328"/>
      <c r="AO24" s="1328"/>
      <c r="AP24" s="1328"/>
      <c r="AQ24" s="1328"/>
      <c r="AR24" s="1328"/>
      <c r="AS24" s="1328"/>
      <c r="AT24" s="1328"/>
      <c r="AU24" s="1328"/>
      <c r="AV24" s="1328"/>
      <c r="AW24" s="1328"/>
      <c r="AX24" s="1328"/>
      <c r="AY24" s="1328"/>
      <c r="AZ24" s="1328"/>
      <c r="BA24" s="1328"/>
      <c r="BB24" s="1328"/>
      <c r="BC24" s="1328"/>
      <c r="BD24" s="1328"/>
      <c r="BE24" s="1328"/>
      <c r="BF24" s="1328"/>
      <c r="BG24" s="1328"/>
      <c r="BH24" s="1328"/>
      <c r="BI24" s="1328"/>
      <c r="BJ24" s="1328"/>
      <c r="BK24" s="1328"/>
      <c r="BL24" s="1328"/>
      <c r="BM24" s="1328"/>
      <c r="BN24" s="1328"/>
      <c r="BO24" s="1328"/>
      <c r="BP24" s="1328"/>
      <c r="BQ24" s="1328"/>
      <c r="BR24" s="1328"/>
      <c r="BS24" s="1328"/>
      <c r="BT24" s="1328"/>
      <c r="BU24" s="1328"/>
      <c r="BV24" s="1328"/>
      <c r="BW24" s="1328"/>
      <c r="BX24" s="1328"/>
      <c r="BY24" s="1328"/>
      <c r="BZ24" s="1328"/>
      <c r="CA24" s="1328"/>
      <c r="CB24" s="1328"/>
      <c r="CC24" s="1328"/>
      <c r="CD24" s="1328"/>
      <c r="CE24" s="1328"/>
      <c r="CF24" s="1328"/>
      <c r="CG24" s="1328"/>
      <c r="CH24" s="1328"/>
      <c r="CI24" s="1328"/>
      <c r="CJ24" s="1328"/>
      <c r="CK24" s="1328"/>
      <c r="CL24" s="1328"/>
      <c r="CM24" s="1328"/>
      <c r="CN24" s="1328"/>
      <c r="CO24" s="1328"/>
      <c r="CP24" s="1328"/>
      <c r="CQ24" s="1328"/>
      <c r="CR24" s="1328"/>
      <c r="CS24" s="1328"/>
      <c r="CT24" s="1328"/>
      <c r="CU24" s="1328"/>
      <c r="CV24" s="1328"/>
      <c r="CW24" s="1328"/>
      <c r="CX24" s="1328"/>
      <c r="CY24" s="1328"/>
      <c r="CZ24" s="1328"/>
      <c r="DA24" s="1328"/>
      <c r="DB24" s="1328"/>
      <c r="DC24" s="1328"/>
      <c r="DD24" s="1328"/>
      <c r="DE24" s="1328"/>
      <c r="DF24" s="1328"/>
      <c r="DG24" s="1328"/>
      <c r="DH24" s="1328"/>
      <c r="DI24" s="1328"/>
      <c r="DJ24" s="1328"/>
      <c r="DK24" s="1328"/>
      <c r="DL24" s="1328"/>
      <c r="DM24" s="1328"/>
      <c r="DN24" s="1328"/>
      <c r="DO24" s="1328"/>
      <c r="DP24" s="1328"/>
      <c r="DQ24" s="1328"/>
      <c r="DR24" s="1328"/>
      <c r="DS24" s="1328"/>
      <c r="DT24" s="1328"/>
      <c r="DU24" s="1328"/>
      <c r="DV24" s="1328"/>
      <c r="DW24" s="1328"/>
      <c r="DX24" s="1328"/>
      <c r="DY24" s="1328"/>
      <c r="DZ24" s="1328"/>
      <c r="EA24" s="1328"/>
      <c r="EB24" s="1328"/>
      <c r="EC24" s="1328"/>
      <c r="ED24" s="1328"/>
      <c r="EE24" s="1328"/>
      <c r="EF24" s="1328"/>
      <c r="EG24" s="1328"/>
      <c r="EH24" s="1328"/>
      <c r="EI24" s="1328"/>
      <c r="EJ24" s="1328"/>
      <c r="EK24" s="1328"/>
      <c r="EL24" s="1328"/>
      <c r="EM24" s="1328"/>
      <c r="EN24" s="1328"/>
      <c r="EO24" s="1328"/>
      <c r="EP24" s="1328"/>
      <c r="EQ24" s="1328"/>
      <c r="ER24" s="1328"/>
      <c r="ES24" s="1328"/>
      <c r="ET24" s="1328"/>
      <c r="EU24" s="1328"/>
      <c r="EV24" s="1328"/>
      <c r="EW24" s="1328"/>
      <c r="EX24" s="1328"/>
      <c r="EY24" s="1328"/>
      <c r="EZ24" s="1328"/>
      <c r="FA24" s="1328"/>
      <c r="FB24" s="1328"/>
      <c r="FC24" s="1328"/>
      <c r="FD24" s="1328"/>
      <c r="FE24" s="1328"/>
      <c r="FF24" s="1328"/>
      <c r="FG24" s="1328"/>
      <c r="FH24" s="1328"/>
      <c r="FI24" s="1328"/>
      <c r="FJ24" s="1328"/>
      <c r="FK24" s="1328"/>
      <c r="FL24" s="1328"/>
      <c r="FM24" s="1328"/>
      <c r="FN24" s="1328"/>
      <c r="FO24" s="1328"/>
      <c r="FP24" s="1328"/>
      <c r="FQ24" s="1328"/>
      <c r="FR24" s="1328"/>
      <c r="FS24" s="1328"/>
      <c r="FT24" s="1328"/>
      <c r="FU24" s="1328"/>
      <c r="FV24" s="1328"/>
      <c r="FW24" s="1328"/>
      <c r="FX24" s="1328"/>
      <c r="FY24" s="1328"/>
      <c r="FZ24" s="1328"/>
      <c r="GA24" s="1328"/>
      <c r="GB24" s="1328"/>
      <c r="GC24" s="1328"/>
      <c r="GD24" s="1328"/>
      <c r="GE24" s="1328"/>
      <c r="GF24" s="1328"/>
      <c r="GG24" s="1328"/>
      <c r="GH24" s="1328"/>
      <c r="GI24" s="1328"/>
      <c r="GJ24" s="1328"/>
      <c r="GK24" s="1328"/>
      <c r="GL24" s="1328"/>
      <c r="GM24" s="1328"/>
      <c r="GN24" s="1328"/>
      <c r="GO24" s="1328"/>
      <c r="GP24" s="1328"/>
      <c r="GQ24" s="1328"/>
      <c r="GR24" s="1328"/>
      <c r="GS24" s="1328"/>
      <c r="GT24" s="1328"/>
      <c r="GU24" s="1328"/>
      <c r="GV24" s="1328"/>
      <c r="GW24" s="1328"/>
      <c r="GX24" s="1328"/>
      <c r="GY24" s="1328"/>
      <c r="GZ24" s="1328"/>
      <c r="HA24" s="1328"/>
      <c r="HB24" s="1328"/>
      <c r="HC24" s="1328"/>
      <c r="HD24" s="1328"/>
      <c r="HE24" s="1328"/>
      <c r="HF24" s="1328"/>
      <c r="HG24" s="1328"/>
      <c r="HH24" s="1328"/>
      <c r="HI24" s="1328"/>
      <c r="HJ24" s="1328"/>
      <c r="HK24" s="1328"/>
      <c r="HL24" s="1328"/>
      <c r="HM24" s="1328"/>
      <c r="HN24" s="1328"/>
      <c r="HO24" s="1328"/>
      <c r="HP24" s="1328"/>
      <c r="HQ24" s="1328"/>
      <c r="HR24" s="1328"/>
      <c r="HS24" s="1328"/>
      <c r="HT24" s="1328"/>
      <c r="HU24" s="1328"/>
      <c r="HV24" s="1328"/>
      <c r="HW24" s="1328"/>
      <c r="HX24" s="1328"/>
      <c r="HY24" s="1328"/>
      <c r="HZ24" s="1328"/>
      <c r="IA24" s="1328"/>
      <c r="IB24" s="1328"/>
      <c r="IC24" s="1328"/>
      <c r="ID24" s="1328"/>
      <c r="IE24" s="1328"/>
      <c r="IF24" s="1328"/>
      <c r="IG24" s="1328"/>
      <c r="IH24" s="1328"/>
      <c r="II24" s="1328"/>
      <c r="IJ24" s="1328"/>
      <c r="IK24" s="1328"/>
      <c r="IL24" s="1328"/>
      <c r="IM24" s="1328"/>
      <c r="IN24" s="1328"/>
      <c r="IO24" s="1328"/>
      <c r="IP24" s="1328"/>
      <c r="IQ24" s="1328"/>
      <c r="IR24" s="1328"/>
      <c r="IS24" s="1328"/>
      <c r="IT24" s="1328"/>
      <c r="IU24" s="1328"/>
      <c r="IV24" s="1328"/>
      <c r="IW24" s="1328"/>
      <c r="IX24" s="1328"/>
      <c r="IY24" s="1328"/>
      <c r="IZ24" s="1328"/>
      <c r="JA24" s="1328"/>
      <c r="JB24" s="1328"/>
      <c r="JC24" s="1328"/>
      <c r="JD24" s="1328"/>
      <c r="JE24" s="1328"/>
      <c r="JF24" s="1328"/>
      <c r="JG24" s="1328"/>
      <c r="JH24" s="1328"/>
      <c r="JI24" s="1328"/>
      <c r="JJ24" s="1328"/>
      <c r="JK24" s="1328"/>
      <c r="JL24" s="1328"/>
      <c r="JM24" s="1328"/>
      <c r="JN24" s="1328"/>
      <c r="JO24" s="1328"/>
      <c r="JP24" s="1328"/>
      <c r="JQ24" s="1328"/>
      <c r="JR24" s="1328"/>
      <c r="JS24" s="1328"/>
      <c r="JT24" s="1328"/>
      <c r="JU24" s="1328"/>
      <c r="JV24" s="1328"/>
      <c r="JW24" s="1328"/>
      <c r="JX24" s="1328"/>
      <c r="JY24" s="1328"/>
      <c r="JZ24" s="1328"/>
      <c r="KA24" s="1328"/>
      <c r="KB24" s="1328"/>
      <c r="KC24" s="1328"/>
      <c r="KD24" s="1328"/>
      <c r="KE24" s="1328"/>
      <c r="KF24" s="1328"/>
      <c r="KG24" s="1328"/>
    </row>
    <row r="25" spans="1:293" x14ac:dyDescent="0.3">
      <c r="A25" s="1218" t="s">
        <v>111</v>
      </c>
      <c r="B25" s="1218"/>
      <c r="C25" s="1218"/>
      <c r="D25" s="1218"/>
      <c r="E25" s="1218"/>
      <c r="F25" s="1218"/>
      <c r="G25" s="1218"/>
      <c r="H25" s="1218"/>
      <c r="I25" s="1218"/>
      <c r="J25" s="1218"/>
      <c r="K25" s="1218"/>
      <c r="L25" s="1218"/>
      <c r="M25" s="1218"/>
      <c r="N25" s="1218"/>
      <c r="O25" s="1218"/>
      <c r="P25" s="1218"/>
      <c r="Q25" s="1218"/>
      <c r="R25" s="1218"/>
      <c r="S25" s="1218"/>
      <c r="T25" s="1218"/>
      <c r="U25" s="1218"/>
      <c r="V25" s="1218"/>
      <c r="W25" s="1218"/>
      <c r="X25" s="1218"/>
      <c r="Y25" s="1218"/>
      <c r="Z25" s="1218"/>
      <c r="AA25" s="1218"/>
      <c r="AB25" s="1218"/>
      <c r="AC25" s="1218"/>
      <c r="AD25" s="1218"/>
      <c r="AE25" s="1218"/>
      <c r="AF25" s="1218"/>
      <c r="AG25" s="1218"/>
      <c r="AH25" s="1218"/>
      <c r="AI25" s="1218"/>
      <c r="AJ25" s="1218"/>
      <c r="AK25" s="1218"/>
      <c r="AL25" s="1218"/>
      <c r="AM25" s="1218"/>
      <c r="AN25" s="1218"/>
      <c r="AO25" s="1218"/>
      <c r="AP25" s="1218"/>
      <c r="AQ25" s="1218"/>
      <c r="AR25" s="1218"/>
      <c r="AS25" s="1218"/>
      <c r="AT25" s="1218"/>
      <c r="AU25" s="1218"/>
      <c r="AV25" s="1218"/>
      <c r="AW25" s="1218"/>
      <c r="AX25" s="1218"/>
      <c r="AY25" s="1218"/>
      <c r="AZ25" s="1218"/>
      <c r="BA25" s="1218"/>
      <c r="BB25" s="1218"/>
      <c r="BC25" s="1218"/>
      <c r="BD25" s="1218"/>
      <c r="BE25" s="1218"/>
      <c r="BF25" s="1218"/>
      <c r="BG25" s="1218"/>
      <c r="BH25" s="1218"/>
      <c r="BI25" s="1218"/>
      <c r="BJ25" s="1218"/>
      <c r="BK25" s="1218"/>
      <c r="BL25" s="1218"/>
      <c r="BM25" s="1218"/>
      <c r="BN25" s="1218"/>
      <c r="BO25" s="1218"/>
      <c r="BP25" s="1218"/>
      <c r="BQ25" s="1218"/>
      <c r="BR25" s="1218"/>
      <c r="BS25" s="1218"/>
      <c r="BT25" s="1218"/>
      <c r="BU25" s="1218"/>
      <c r="BV25" s="1218"/>
      <c r="BW25" s="1218"/>
      <c r="BX25" s="1218"/>
      <c r="BY25" s="1218"/>
      <c r="BZ25" s="1218"/>
      <c r="CA25" s="1218"/>
      <c r="CB25" s="1218"/>
      <c r="CC25" s="1218"/>
      <c r="CD25" s="1218"/>
      <c r="CE25" s="1218"/>
      <c r="CF25" s="1218"/>
      <c r="CG25" s="1218"/>
      <c r="CH25" s="1218"/>
      <c r="CI25" s="1218"/>
      <c r="CJ25" s="1218"/>
      <c r="CK25" s="1218"/>
      <c r="CL25" s="1218"/>
      <c r="CM25" s="1218"/>
      <c r="CN25" s="1218"/>
      <c r="CO25" s="1218"/>
      <c r="CP25" s="1218"/>
      <c r="CQ25" s="1218"/>
      <c r="CR25" s="1218"/>
      <c r="CS25" s="1218"/>
      <c r="CT25" s="1218"/>
      <c r="CU25" s="1218"/>
      <c r="CV25" s="1218"/>
      <c r="CW25" s="1218"/>
      <c r="CX25" s="1218"/>
      <c r="CY25" s="1218"/>
      <c r="CZ25" s="1218"/>
      <c r="DA25" s="1218"/>
      <c r="DB25" s="1218"/>
      <c r="DC25" s="1218"/>
      <c r="DD25" s="1218"/>
      <c r="DE25" s="1218"/>
      <c r="DF25" s="1218"/>
      <c r="DG25" s="1218"/>
      <c r="DH25" s="1218"/>
      <c r="DI25" s="1218"/>
      <c r="DJ25" s="1218"/>
      <c r="DK25" s="1218"/>
      <c r="DL25" s="1218"/>
      <c r="DM25" s="1218"/>
      <c r="DN25" s="1218"/>
      <c r="DO25" s="1218"/>
      <c r="DP25" s="1218"/>
      <c r="DQ25" s="1218"/>
      <c r="DR25" s="1218"/>
      <c r="DS25" s="1218"/>
      <c r="DT25" s="1218"/>
      <c r="DU25" s="1218"/>
      <c r="DV25" s="1218"/>
      <c r="DW25" s="1218"/>
      <c r="DX25" s="1218"/>
      <c r="DY25" s="1218"/>
      <c r="DZ25" s="1218"/>
      <c r="EA25" s="1218"/>
      <c r="EB25" s="1218"/>
      <c r="EC25" s="1218"/>
      <c r="ED25" s="1218"/>
      <c r="EE25" s="1218"/>
      <c r="EF25" s="1218"/>
      <c r="EG25" s="1218"/>
      <c r="EH25" s="1218"/>
      <c r="EI25" s="1218"/>
      <c r="EJ25" s="1218"/>
      <c r="EK25" s="1218"/>
      <c r="EL25" s="1218"/>
      <c r="EM25" s="1218"/>
      <c r="EN25" s="1218"/>
      <c r="EO25" s="1218"/>
      <c r="EP25" s="1218"/>
      <c r="EQ25" s="1218"/>
      <c r="ER25" s="1218"/>
      <c r="ES25" s="1218"/>
      <c r="ET25" s="1218"/>
      <c r="EU25" s="1218"/>
      <c r="EV25" s="1218"/>
      <c r="EW25" s="1218"/>
      <c r="EX25" s="1218"/>
      <c r="EY25" s="1218"/>
      <c r="EZ25" s="1218"/>
      <c r="FA25" s="1218"/>
      <c r="FB25" s="1218"/>
      <c r="FC25" s="1218"/>
      <c r="FD25" s="1218"/>
      <c r="FE25" s="1218"/>
      <c r="FF25" s="1218"/>
      <c r="FG25" s="1218"/>
      <c r="FH25" s="1218"/>
      <c r="FI25" s="1218"/>
      <c r="FJ25" s="1218"/>
      <c r="FK25" s="1218"/>
      <c r="FL25" s="1218"/>
      <c r="FM25" s="1218"/>
      <c r="FN25" s="1218"/>
      <c r="FO25" s="1218"/>
      <c r="FP25" s="1218"/>
      <c r="FQ25" s="1218"/>
      <c r="FR25" s="1218"/>
      <c r="FS25" s="1218"/>
      <c r="FT25" s="1218"/>
      <c r="FU25" s="1218"/>
      <c r="FV25" s="1218"/>
      <c r="FW25" s="1218"/>
      <c r="FX25" s="1218"/>
      <c r="FY25" s="1218"/>
      <c r="FZ25" s="1218"/>
      <c r="GA25" s="1218"/>
      <c r="GB25" s="1218"/>
      <c r="GC25" s="1218"/>
      <c r="GD25" s="1218"/>
      <c r="GE25" s="1218"/>
      <c r="GF25" s="1218"/>
      <c r="GG25" s="1218"/>
      <c r="GH25" s="1218"/>
      <c r="GI25" s="1218"/>
      <c r="GJ25" s="1218"/>
      <c r="GK25" s="1218"/>
      <c r="GL25" s="1218"/>
      <c r="GM25" s="1218"/>
      <c r="GN25" s="1218"/>
      <c r="GO25" s="1218"/>
      <c r="GP25" s="1218"/>
      <c r="GQ25" s="1218"/>
      <c r="GR25" s="1218"/>
      <c r="GS25" s="1218"/>
      <c r="GT25" s="1218"/>
      <c r="GU25" s="1218"/>
      <c r="GV25" s="1218"/>
      <c r="GW25" s="1218"/>
      <c r="GX25" s="1218"/>
      <c r="GY25" s="1218"/>
      <c r="GZ25" s="1218"/>
      <c r="HA25" s="1218"/>
      <c r="HB25" s="1218"/>
      <c r="HC25" s="1218"/>
      <c r="HD25" s="1218"/>
      <c r="HE25" s="1218"/>
      <c r="HF25" s="1218"/>
      <c r="HG25" s="1218"/>
      <c r="HH25" s="1218"/>
      <c r="HI25" s="1218"/>
      <c r="HJ25" s="1218"/>
      <c r="HK25" s="1218"/>
      <c r="HL25" s="1218"/>
      <c r="HM25" s="1218"/>
      <c r="HN25" s="1218"/>
      <c r="HO25" s="1218"/>
      <c r="HP25" s="1218"/>
      <c r="HQ25" s="1218"/>
      <c r="HR25" s="1218"/>
      <c r="HS25" s="1218"/>
      <c r="HT25" s="1218"/>
      <c r="HU25" s="1218"/>
      <c r="HV25" s="1218"/>
      <c r="HW25" s="1218"/>
      <c r="HX25" s="1218"/>
      <c r="HY25" s="1218"/>
      <c r="HZ25" s="1218"/>
      <c r="IA25" s="1218"/>
      <c r="IB25" s="1218"/>
      <c r="IC25" s="1218"/>
      <c r="ID25" s="1218"/>
      <c r="IE25" s="1218"/>
      <c r="IF25" s="1218"/>
      <c r="IG25" s="1218"/>
      <c r="IH25" s="1218"/>
      <c r="II25" s="1218"/>
      <c r="IJ25" s="1218"/>
      <c r="IK25" s="1218"/>
      <c r="IL25" s="1218"/>
      <c r="IM25" s="1218"/>
      <c r="IN25" s="1218"/>
      <c r="IO25" s="1218"/>
      <c r="IP25" s="1218"/>
      <c r="IQ25" s="1218"/>
      <c r="IR25" s="1218"/>
      <c r="IS25" s="1218"/>
      <c r="IT25" s="1218"/>
      <c r="IU25" s="1218"/>
      <c r="IV25" s="1218"/>
      <c r="IW25" s="1218"/>
      <c r="IX25" s="1218"/>
      <c r="IY25" s="1218"/>
      <c r="IZ25" s="1218"/>
      <c r="JA25" s="1218"/>
      <c r="JB25" s="1218"/>
      <c r="JC25" s="1218"/>
      <c r="JD25" s="1218"/>
      <c r="JE25" s="1218"/>
      <c r="JF25" s="1218"/>
      <c r="JG25" s="1218"/>
      <c r="JH25" s="1218"/>
      <c r="JI25" s="1218"/>
      <c r="JJ25" s="1218"/>
      <c r="JK25" s="1218"/>
      <c r="JL25" s="1218"/>
      <c r="JM25" s="1218"/>
      <c r="JN25" s="1218"/>
      <c r="JO25" s="1218"/>
      <c r="JP25" s="1218"/>
      <c r="JQ25" s="1218"/>
      <c r="JR25" s="1218"/>
      <c r="JS25" s="1218"/>
      <c r="JT25" s="1218"/>
      <c r="JU25" s="1218"/>
      <c r="JV25" s="1218"/>
      <c r="JW25" s="1218"/>
      <c r="JX25" s="1218"/>
      <c r="JY25" s="1218"/>
      <c r="JZ25" s="1218"/>
      <c r="KA25" s="1218"/>
      <c r="KB25" s="1218"/>
      <c r="KC25" s="1218"/>
      <c r="KD25" s="1218"/>
      <c r="KE25" s="1218"/>
      <c r="KF25" s="1218"/>
      <c r="KG25" s="1218"/>
    </row>
    <row r="31" spans="1:293" x14ac:dyDescent="0.3">
      <c r="BG31" s="583"/>
      <c r="BH31" s="583"/>
      <c r="BI31" s="583"/>
      <c r="BJ31" s="583"/>
    </row>
  </sheetData>
  <mergeCells count="76">
    <mergeCell ref="JZ3:KC3"/>
    <mergeCell ref="GX3:HA3"/>
    <mergeCell ref="HB3:HE3"/>
    <mergeCell ref="HF3:HI3"/>
    <mergeCell ref="IX3:JA3"/>
    <mergeCell ref="JB3:JE3"/>
    <mergeCell ref="JF3:JI3"/>
    <mergeCell ref="JJ3:JM3"/>
    <mergeCell ref="JN3:JQ3"/>
    <mergeCell ref="HV3:HY3"/>
    <mergeCell ref="HZ3:IC3"/>
    <mergeCell ref="ID3:IG3"/>
    <mergeCell ref="IH3:IK3"/>
    <mergeCell ref="JV3:JY3"/>
    <mergeCell ref="JR3:JU3"/>
    <mergeCell ref="HR3:HU3"/>
    <mergeCell ref="GT3:GW3"/>
    <mergeCell ref="FB3:FE3"/>
    <mergeCell ref="IL3:IO3"/>
    <mergeCell ref="IP3:IS3"/>
    <mergeCell ref="IT3:IW3"/>
    <mergeCell ref="HJ3:HM3"/>
    <mergeCell ref="HN3:HQ3"/>
    <mergeCell ref="EP3:ES3"/>
    <mergeCell ref="DF3:DI3"/>
    <mergeCell ref="DJ3:DM3"/>
    <mergeCell ref="DN3:DQ3"/>
    <mergeCell ref="DR3:DU3"/>
    <mergeCell ref="DV3:DY3"/>
    <mergeCell ref="EX3:FA3"/>
    <mergeCell ref="ET3:EW3"/>
    <mergeCell ref="GH3:GK3"/>
    <mergeCell ref="GL3:GO3"/>
    <mergeCell ref="GP3:GS3"/>
    <mergeCell ref="FZ3:GC3"/>
    <mergeCell ref="GD3:GG3"/>
    <mergeCell ref="FF3:FI3"/>
    <mergeCell ref="FJ3:FM3"/>
    <mergeCell ref="FN3:FQ3"/>
    <mergeCell ref="FR3:FU3"/>
    <mergeCell ref="FV3:FY3"/>
    <mergeCell ref="DB3:DE3"/>
    <mergeCell ref="DZ3:EC3"/>
    <mergeCell ref="ED3:EG3"/>
    <mergeCell ref="EH3:EK3"/>
    <mergeCell ref="EL3:EO3"/>
    <mergeCell ref="AL3:AO3"/>
    <mergeCell ref="AP3:AS3"/>
    <mergeCell ref="AT3:AW3"/>
    <mergeCell ref="BB3:BE3"/>
    <mergeCell ref="CT3:CW3"/>
    <mergeCell ref="BJ3:BM3"/>
    <mergeCell ref="BN3:BQ3"/>
    <mergeCell ref="BR3:BU3"/>
    <mergeCell ref="BV3:BY3"/>
    <mergeCell ref="BZ3:CC3"/>
    <mergeCell ref="CD3:CG3"/>
    <mergeCell ref="CH3:CK3"/>
    <mergeCell ref="CL3:CO3"/>
    <mergeCell ref="CP3:CS3"/>
    <mergeCell ref="A1:KG1"/>
    <mergeCell ref="A24:KG24"/>
    <mergeCell ref="A25:KG25"/>
    <mergeCell ref="KD3:KG3"/>
    <mergeCell ref="AX3:BA3"/>
    <mergeCell ref="CX3:DA3"/>
    <mergeCell ref="BF3:BI3"/>
    <mergeCell ref="B3:E3"/>
    <mergeCell ref="F3:I3"/>
    <mergeCell ref="J3:M3"/>
    <mergeCell ref="N3:Q3"/>
    <mergeCell ref="R3:U3"/>
    <mergeCell ref="V3:Y3"/>
    <mergeCell ref="Z3:AC3"/>
    <mergeCell ref="AD3:AG3"/>
    <mergeCell ref="AH3:AK3"/>
  </mergeCells>
  <pageMargins left="0.39370078740157483" right="0.19685039370078741" top="0.47244094488188981" bottom="0.74803149606299213" header="0.31496062992125984" footer="0.31496062992125984"/>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F35"/>
  <sheetViews>
    <sheetView zoomScale="120" zoomScaleNormal="120" workbookViewId="0">
      <selection activeCell="BD6" sqref="BD6"/>
    </sheetView>
  </sheetViews>
  <sheetFormatPr defaultColWidth="9.08984375" defaultRowHeight="14.5" x14ac:dyDescent="0.35"/>
  <cols>
    <col min="1" max="1" width="51.453125" style="631" customWidth="1"/>
    <col min="2" max="2" width="7.36328125" style="631" hidden="1" customWidth="1"/>
    <col min="3" max="3" width="7.453125" style="631" hidden="1" customWidth="1"/>
    <col min="4" max="4" width="7.36328125" style="631" hidden="1" customWidth="1"/>
    <col min="5" max="5" width="7.453125" style="631" hidden="1" customWidth="1"/>
    <col min="6" max="7" width="8" style="631" hidden="1" customWidth="1"/>
    <col min="8" max="9" width="7.6328125" style="631" hidden="1" customWidth="1"/>
    <col min="10" max="10" width="8" style="631" hidden="1" customWidth="1"/>
    <col min="11" max="11" width="8.453125" style="631" hidden="1" customWidth="1"/>
    <col min="12" max="12" width="8.08984375" style="631" hidden="1" customWidth="1"/>
    <col min="13" max="13" width="7.90625" style="631" hidden="1" customWidth="1"/>
    <col min="14" max="14" width="8" style="631" hidden="1" customWidth="1"/>
    <col min="15" max="17" width="8.08984375" style="631" hidden="1" customWidth="1"/>
    <col min="18" max="18" width="8.36328125" style="631" hidden="1" customWidth="1"/>
    <col min="19" max="19" width="7.90625" style="631" hidden="1" customWidth="1"/>
    <col min="20" max="20" width="8" style="631" hidden="1" customWidth="1"/>
    <col min="21" max="21" width="8.453125" style="631" hidden="1" customWidth="1"/>
    <col min="22" max="22" width="8.36328125" style="631" hidden="1" customWidth="1"/>
    <col min="23" max="23" width="8.08984375" style="631" hidden="1" customWidth="1"/>
    <col min="24" max="25" width="8.453125" style="631" hidden="1" customWidth="1"/>
    <col min="26" max="26" width="7.90625" style="631" hidden="1" customWidth="1"/>
    <col min="27" max="27" width="7.6328125" style="631" hidden="1" customWidth="1"/>
    <col min="28" max="29" width="8.08984375" style="631" hidden="1" customWidth="1"/>
    <col min="30" max="32" width="8.36328125" style="631" hidden="1" customWidth="1"/>
    <col min="33" max="33" width="8.90625" style="631" hidden="1" customWidth="1"/>
    <col min="34" max="34" width="8.6328125" style="631" hidden="1" customWidth="1"/>
    <col min="35" max="37" width="8.08984375" style="631" hidden="1" customWidth="1"/>
    <col min="38" max="38" width="8.90625" style="631" hidden="1" customWidth="1"/>
    <col min="39" max="39" width="8" style="631" hidden="1" customWidth="1"/>
    <col min="40" max="40" width="8.453125" style="631" hidden="1" customWidth="1"/>
    <col min="41" max="41" width="8.08984375" style="631" hidden="1" customWidth="1"/>
    <col min="42" max="42" width="8.453125" style="631" hidden="1" customWidth="1"/>
    <col min="43" max="43" width="8.6328125" style="631" hidden="1" customWidth="1"/>
    <col min="44" max="44" width="8.453125" style="631" hidden="1" customWidth="1"/>
    <col min="45" max="45" width="8.6328125" style="631" hidden="1" customWidth="1"/>
    <col min="46" max="46" width="8.36328125" style="631" hidden="1" customWidth="1"/>
    <col min="47" max="48" width="9.08984375" style="631" hidden="1" customWidth="1"/>
    <col min="49" max="49" width="8.453125" style="631" hidden="1" customWidth="1"/>
    <col min="50" max="50" width="9.08984375" style="631" hidden="1" customWidth="1"/>
    <col min="51" max="51" width="9.90625" style="631" hidden="1" customWidth="1"/>
    <col min="52" max="52" width="10.08984375" style="631" hidden="1" customWidth="1"/>
    <col min="53" max="53" width="10.453125" style="631" hidden="1" customWidth="1"/>
    <col min="54" max="55" width="11.08984375" style="631" hidden="1" customWidth="1"/>
    <col min="56" max="58" width="11.08984375" style="631" customWidth="1"/>
    <col min="59" max="16384" width="9.08984375" style="631"/>
  </cols>
  <sheetData>
    <row r="1" spans="1:58" ht="36" customHeight="1" x14ac:dyDescent="0.35">
      <c r="A1" s="1282" t="s">
        <v>674</v>
      </c>
      <c r="B1" s="1282"/>
      <c r="C1" s="1282"/>
      <c r="D1" s="1282"/>
      <c r="E1" s="1282"/>
      <c r="F1" s="1282"/>
      <c r="G1" s="1282"/>
      <c r="H1" s="1282"/>
      <c r="I1" s="1282"/>
      <c r="J1" s="1282"/>
      <c r="K1" s="1282"/>
      <c r="L1" s="1282"/>
      <c r="M1" s="1282"/>
      <c r="N1" s="1282"/>
      <c r="O1" s="1282"/>
      <c r="P1" s="1282"/>
      <c r="Q1" s="1282"/>
      <c r="R1" s="1282"/>
      <c r="S1" s="1282"/>
      <c r="T1" s="1282"/>
      <c r="U1" s="1282"/>
      <c r="V1" s="1282"/>
      <c r="W1" s="1282"/>
      <c r="X1" s="1282"/>
      <c r="Y1" s="1282"/>
      <c r="Z1" s="1282"/>
      <c r="AA1" s="1282"/>
      <c r="AB1" s="1282"/>
      <c r="AC1" s="1282"/>
      <c r="AD1" s="1282"/>
      <c r="AE1" s="1282"/>
      <c r="AF1" s="1282"/>
      <c r="AG1" s="1282"/>
      <c r="AH1" s="1282"/>
      <c r="AI1" s="1282"/>
      <c r="AJ1" s="1282"/>
      <c r="AK1" s="1282"/>
      <c r="AL1" s="1282"/>
      <c r="AM1" s="1282"/>
      <c r="AN1" s="1282"/>
      <c r="AO1" s="1282"/>
      <c r="AP1" s="1282"/>
      <c r="AQ1" s="1282"/>
      <c r="AR1" s="1282"/>
      <c r="AS1" s="1282"/>
      <c r="AT1" s="1282"/>
      <c r="AU1" s="1282"/>
      <c r="AV1" s="1282"/>
      <c r="AW1" s="1282"/>
      <c r="AX1" s="1282"/>
      <c r="AY1" s="1282"/>
      <c r="AZ1" s="1282"/>
      <c r="BA1" s="1282"/>
      <c r="BB1" s="1282"/>
      <c r="BC1" s="1282"/>
      <c r="BD1" s="1282"/>
      <c r="BE1" s="1282"/>
      <c r="BF1" s="1282"/>
    </row>
    <row r="2" spans="1:58" x14ac:dyDescent="0.35">
      <c r="A2" s="657" t="s">
        <v>437</v>
      </c>
      <c r="B2" s="110"/>
      <c r="C2" s="110"/>
      <c r="D2" s="110"/>
      <c r="E2" s="110"/>
      <c r="F2" s="657"/>
      <c r="G2" s="657"/>
      <c r="I2" s="657"/>
      <c r="J2" s="657"/>
      <c r="K2" s="657"/>
      <c r="M2" s="657"/>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S2" s="104"/>
      <c r="AT2" s="104"/>
      <c r="AW2" s="104"/>
      <c r="AX2" s="104"/>
      <c r="AY2" s="104"/>
      <c r="AZ2" s="104"/>
      <c r="BA2" s="104"/>
      <c r="BB2" s="104"/>
      <c r="BC2" s="104"/>
      <c r="BD2" s="104"/>
      <c r="BE2" s="154"/>
      <c r="BF2" s="154" t="s">
        <v>144</v>
      </c>
    </row>
    <row r="3" spans="1:58" ht="28.5" customHeight="1" x14ac:dyDescent="0.35">
      <c r="A3" s="656"/>
      <c r="B3" s="655" t="s">
        <v>673</v>
      </c>
      <c r="C3" s="655" t="s">
        <v>672</v>
      </c>
      <c r="D3" s="655" t="s">
        <v>671</v>
      </c>
      <c r="E3" s="655" t="s">
        <v>670</v>
      </c>
      <c r="F3" s="655" t="s">
        <v>669</v>
      </c>
      <c r="G3" s="655" t="s">
        <v>668</v>
      </c>
      <c r="H3" s="655" t="s">
        <v>667</v>
      </c>
      <c r="I3" s="655" t="s">
        <v>666</v>
      </c>
      <c r="J3" s="655" t="s">
        <v>665</v>
      </c>
      <c r="K3" s="655" t="s">
        <v>664</v>
      </c>
      <c r="L3" s="655" t="s">
        <v>663</v>
      </c>
      <c r="M3" s="655" t="s">
        <v>662</v>
      </c>
      <c r="N3" s="655" t="s">
        <v>661</v>
      </c>
      <c r="O3" s="655" t="s">
        <v>660</v>
      </c>
      <c r="P3" s="655" t="s">
        <v>659</v>
      </c>
      <c r="Q3" s="655" t="s">
        <v>658</v>
      </c>
      <c r="R3" s="655" t="s">
        <v>657</v>
      </c>
      <c r="S3" s="655" t="s">
        <v>656</v>
      </c>
      <c r="T3" s="655" t="s">
        <v>655</v>
      </c>
      <c r="U3" s="655" t="s">
        <v>654</v>
      </c>
      <c r="V3" s="655" t="s">
        <v>653</v>
      </c>
      <c r="W3" s="655" t="s">
        <v>652</v>
      </c>
      <c r="X3" s="655" t="s">
        <v>651</v>
      </c>
      <c r="Y3" s="655" t="s">
        <v>650</v>
      </c>
      <c r="Z3" s="655" t="s">
        <v>649</v>
      </c>
      <c r="AA3" s="655" t="s">
        <v>648</v>
      </c>
      <c r="AB3" s="655" t="s">
        <v>647</v>
      </c>
      <c r="AC3" s="655" t="s">
        <v>646</v>
      </c>
      <c r="AD3" s="655" t="s">
        <v>645</v>
      </c>
      <c r="AE3" s="655" t="s">
        <v>644</v>
      </c>
      <c r="AF3" s="655" t="s">
        <v>643</v>
      </c>
      <c r="AG3" s="655" t="s">
        <v>642</v>
      </c>
      <c r="AH3" s="655" t="s">
        <v>641</v>
      </c>
      <c r="AI3" s="655" t="s">
        <v>640</v>
      </c>
      <c r="AJ3" s="655" t="s">
        <v>639</v>
      </c>
      <c r="AK3" s="655" t="s">
        <v>638</v>
      </c>
      <c r="AL3" s="655" t="s">
        <v>637</v>
      </c>
      <c r="AM3" s="655" t="s">
        <v>636</v>
      </c>
      <c r="AN3" s="655" t="s">
        <v>635</v>
      </c>
      <c r="AO3" s="655" t="s">
        <v>634</v>
      </c>
      <c r="AP3" s="655" t="s">
        <v>633</v>
      </c>
      <c r="AQ3" s="655" t="s">
        <v>632</v>
      </c>
      <c r="AR3" s="655" t="s">
        <v>631</v>
      </c>
      <c r="AS3" s="655" t="s">
        <v>630</v>
      </c>
      <c r="AT3" s="655" t="s">
        <v>629</v>
      </c>
      <c r="AU3" s="655" t="s">
        <v>628</v>
      </c>
      <c r="AV3" s="655" t="s">
        <v>627</v>
      </c>
      <c r="AW3" s="655" t="s">
        <v>626</v>
      </c>
      <c r="AX3" s="655" t="s">
        <v>625</v>
      </c>
      <c r="AY3" s="655" t="s">
        <v>624</v>
      </c>
      <c r="AZ3" s="655" t="s">
        <v>623</v>
      </c>
      <c r="BA3" s="655" t="s">
        <v>622</v>
      </c>
      <c r="BB3" s="655" t="s">
        <v>621</v>
      </c>
      <c r="BC3" s="655" t="s">
        <v>620</v>
      </c>
      <c r="BD3" s="655" t="s">
        <v>804</v>
      </c>
      <c r="BE3" s="655" t="s">
        <v>902</v>
      </c>
      <c r="BF3" s="655" t="s">
        <v>903</v>
      </c>
    </row>
    <row r="4" spans="1:58" s="652" customFormat="1" ht="23.25" customHeight="1" x14ac:dyDescent="0.35">
      <c r="A4" s="654" t="s">
        <v>619</v>
      </c>
      <c r="B4" s="653">
        <v>11033.1</v>
      </c>
      <c r="C4" s="653">
        <v>10440.299999999999</v>
      </c>
      <c r="D4" s="653">
        <v>10632</v>
      </c>
      <c r="E4" s="653">
        <v>11236</v>
      </c>
      <c r="F4" s="653">
        <v>11557.3</v>
      </c>
      <c r="G4" s="653">
        <v>10281</v>
      </c>
      <c r="H4" s="653">
        <v>9937</v>
      </c>
      <c r="I4" s="653">
        <v>12086</v>
      </c>
      <c r="J4" s="653">
        <v>10975</v>
      </c>
      <c r="K4" s="653">
        <v>9461</v>
      </c>
      <c r="L4" s="653">
        <v>9319</v>
      </c>
      <c r="M4" s="653">
        <v>9887</v>
      </c>
      <c r="N4" s="653">
        <v>9429</v>
      </c>
      <c r="O4" s="653">
        <v>12531</v>
      </c>
      <c r="P4" s="653">
        <v>12134</v>
      </c>
      <c r="Q4" s="653">
        <v>11555</v>
      </c>
      <c r="R4" s="653">
        <v>10756</v>
      </c>
      <c r="S4" s="653">
        <v>10703</v>
      </c>
      <c r="T4" s="653">
        <v>10318</v>
      </c>
      <c r="U4" s="653">
        <v>9619</v>
      </c>
      <c r="V4" s="653">
        <v>12622</v>
      </c>
      <c r="W4" s="653">
        <v>11959</v>
      </c>
      <c r="X4" s="653">
        <v>18251</v>
      </c>
      <c r="Y4" s="653">
        <v>17418</v>
      </c>
      <c r="Z4" s="653">
        <v>17788</v>
      </c>
      <c r="AA4" s="653">
        <v>17038</v>
      </c>
      <c r="AB4" s="653">
        <v>17536</v>
      </c>
      <c r="AC4" s="653">
        <v>24371</v>
      </c>
      <c r="AD4" s="653">
        <v>23511.8</v>
      </c>
      <c r="AE4" s="653">
        <v>22940.3</v>
      </c>
      <c r="AF4" s="653">
        <v>23014</v>
      </c>
      <c r="AG4" s="653">
        <v>17464</v>
      </c>
      <c r="AH4" s="653">
        <v>17765</v>
      </c>
      <c r="AI4" s="653">
        <v>17689</v>
      </c>
      <c r="AJ4" s="653">
        <v>11146</v>
      </c>
      <c r="AK4" s="653">
        <v>11867</v>
      </c>
      <c r="AL4" s="653">
        <v>13280.04</v>
      </c>
      <c r="AM4" s="653">
        <v>13950.309999999998</v>
      </c>
      <c r="AN4" s="653">
        <v>14226.029999999999</v>
      </c>
      <c r="AO4" s="653">
        <v>13714.57</v>
      </c>
      <c r="AP4" s="653">
        <v>19301.330000000002</v>
      </c>
      <c r="AQ4" s="653">
        <v>24657.09</v>
      </c>
      <c r="AR4" s="653">
        <v>29647.95</v>
      </c>
      <c r="AS4" s="653">
        <v>32007.469999999998</v>
      </c>
      <c r="AT4" s="653">
        <v>30124.82</v>
      </c>
      <c r="AU4" s="653">
        <v>33354.82</v>
      </c>
      <c r="AV4" s="653">
        <v>33083.4</v>
      </c>
      <c r="AW4" s="653">
        <v>31066.840000000004</v>
      </c>
      <c r="AX4" s="653">
        <v>30983.53</v>
      </c>
      <c r="AY4" s="653">
        <v>36493.625999999997</v>
      </c>
      <c r="AZ4" s="653">
        <v>35305.620000000003</v>
      </c>
      <c r="BA4" s="653">
        <v>40725.620000000003</v>
      </c>
      <c r="BB4" s="653">
        <v>42250.12</v>
      </c>
      <c r="BC4" s="653">
        <v>36935.860000000008</v>
      </c>
      <c r="BD4" s="653">
        <v>36221</v>
      </c>
      <c r="BE4" s="653">
        <v>34495</v>
      </c>
      <c r="BF4" s="653">
        <v>37376</v>
      </c>
    </row>
    <row r="5" spans="1:58" x14ac:dyDescent="0.35">
      <c r="A5" s="649"/>
      <c r="B5" s="651"/>
      <c r="C5" s="651"/>
      <c r="D5" s="651"/>
      <c r="E5" s="651"/>
      <c r="F5" s="651"/>
      <c r="G5" s="651"/>
      <c r="H5" s="651"/>
      <c r="I5" s="651"/>
      <c r="J5" s="651"/>
      <c r="K5" s="651"/>
      <c r="L5" s="651"/>
      <c r="M5" s="651"/>
      <c r="N5" s="651"/>
      <c r="O5" s="651"/>
      <c r="P5" s="651"/>
      <c r="Q5" s="651"/>
      <c r="R5" s="651"/>
      <c r="S5" s="651"/>
      <c r="T5" s="651"/>
      <c r="U5" s="651"/>
      <c r="V5" s="651"/>
      <c r="W5" s="651"/>
      <c r="X5" s="651"/>
      <c r="Y5" s="651"/>
      <c r="Z5" s="651"/>
      <c r="AA5" s="651"/>
      <c r="AB5" s="651"/>
      <c r="AC5" s="651"/>
      <c r="AD5" s="651"/>
      <c r="AE5" s="651"/>
      <c r="AF5" s="651"/>
      <c r="AG5" s="651"/>
      <c r="AH5" s="651"/>
      <c r="AI5" s="651"/>
      <c r="AJ5" s="651"/>
      <c r="AK5" s="651"/>
      <c r="AL5" s="651"/>
      <c r="AM5" s="651"/>
      <c r="AN5" s="651"/>
      <c r="AO5" s="651"/>
      <c r="AP5" s="651"/>
      <c r="AQ5" s="651"/>
      <c r="AR5" s="651"/>
      <c r="AS5" s="651"/>
      <c r="AT5" s="651"/>
      <c r="AU5" s="651"/>
      <c r="AV5" s="651"/>
      <c r="AW5" s="651"/>
      <c r="AX5" s="651"/>
      <c r="AY5" s="651"/>
      <c r="AZ5" s="651"/>
      <c r="BA5" s="651"/>
      <c r="BB5" s="651"/>
      <c r="BC5" s="651"/>
      <c r="BD5" s="651"/>
      <c r="BE5" s="651"/>
      <c r="BF5" s="651"/>
    </row>
    <row r="6" spans="1:58" x14ac:dyDescent="0.35">
      <c r="A6" s="648" t="s">
        <v>618</v>
      </c>
      <c r="B6" s="650">
        <v>8725.4</v>
      </c>
      <c r="C6" s="650">
        <v>8017.4</v>
      </c>
      <c r="D6" s="650">
        <v>8247</v>
      </c>
      <c r="E6" s="650">
        <v>8823</v>
      </c>
      <c r="F6" s="650">
        <v>9123</v>
      </c>
      <c r="G6" s="650">
        <v>7912</v>
      </c>
      <c r="H6" s="650">
        <v>7598</v>
      </c>
      <c r="I6" s="650">
        <v>8726</v>
      </c>
      <c r="J6" s="650">
        <v>7419</v>
      </c>
      <c r="K6" s="650">
        <v>6169</v>
      </c>
      <c r="L6" s="650">
        <v>6158</v>
      </c>
      <c r="M6" s="650">
        <v>6942</v>
      </c>
      <c r="N6" s="650">
        <v>6394</v>
      </c>
      <c r="O6" s="650">
        <v>9590</v>
      </c>
      <c r="P6" s="650">
        <v>9246</v>
      </c>
      <c r="Q6" s="650">
        <v>7676</v>
      </c>
      <c r="R6" s="650">
        <v>7567</v>
      </c>
      <c r="S6" s="650">
        <v>7538</v>
      </c>
      <c r="T6" s="650">
        <v>7334</v>
      </c>
      <c r="U6" s="650">
        <v>7381</v>
      </c>
      <c r="V6" s="650">
        <v>10636</v>
      </c>
      <c r="W6" s="650">
        <v>10233</v>
      </c>
      <c r="X6" s="650">
        <v>16654</v>
      </c>
      <c r="Y6" s="650">
        <v>15825</v>
      </c>
      <c r="Z6" s="650">
        <v>16325</v>
      </c>
      <c r="AA6" s="650">
        <v>15590</v>
      </c>
      <c r="AB6" s="650">
        <v>16175</v>
      </c>
      <c r="AC6" s="650">
        <v>23016</v>
      </c>
      <c r="AD6" s="650">
        <v>22252.799999999999</v>
      </c>
      <c r="AE6" s="650">
        <v>22101.3</v>
      </c>
      <c r="AF6" s="650">
        <v>22269</v>
      </c>
      <c r="AG6" s="650">
        <v>17332</v>
      </c>
      <c r="AH6" s="650">
        <v>17638</v>
      </c>
      <c r="AI6" s="650">
        <v>17566</v>
      </c>
      <c r="AJ6" s="650">
        <v>11027</v>
      </c>
      <c r="AK6" s="650">
        <v>11749</v>
      </c>
      <c r="AL6" s="650">
        <v>13165.79</v>
      </c>
      <c r="AM6" s="650">
        <v>13836.029999999999</v>
      </c>
      <c r="AN6" s="650">
        <v>14113</v>
      </c>
      <c r="AO6" s="650">
        <v>13632.2</v>
      </c>
      <c r="AP6" s="650">
        <v>19218.61</v>
      </c>
      <c r="AQ6" s="650">
        <v>24575.86</v>
      </c>
      <c r="AR6" s="650">
        <v>29563.62</v>
      </c>
      <c r="AS6" s="650">
        <v>31923.489999999998</v>
      </c>
      <c r="AT6" s="650">
        <v>30037.599999999999</v>
      </c>
      <c r="AU6" s="650">
        <v>33265.49</v>
      </c>
      <c r="AV6" s="650">
        <v>32996</v>
      </c>
      <c r="AW6" s="650">
        <v>30980.620000000003</v>
      </c>
      <c r="AX6" s="650">
        <v>30896.76</v>
      </c>
      <c r="AY6" s="650">
        <v>36410.1</v>
      </c>
      <c r="AZ6" s="650">
        <v>35224</v>
      </c>
      <c r="BA6" s="650">
        <v>40646</v>
      </c>
      <c r="BB6" s="650">
        <v>42170</v>
      </c>
      <c r="BC6" s="650">
        <v>36855.740000000005</v>
      </c>
      <c r="BD6" s="650">
        <v>36140.04</v>
      </c>
      <c r="BE6" s="650">
        <v>34417.89</v>
      </c>
      <c r="BF6" s="650">
        <v>37300.71</v>
      </c>
    </row>
    <row r="7" spans="1:58" x14ac:dyDescent="0.35">
      <c r="A7" s="639" t="s">
        <v>431</v>
      </c>
      <c r="B7" s="638">
        <v>4026.4</v>
      </c>
      <c r="C7" s="638">
        <v>3880.4</v>
      </c>
      <c r="D7" s="638">
        <v>3874</v>
      </c>
      <c r="E7" s="638">
        <v>4070</v>
      </c>
      <c r="F7" s="638">
        <v>3939</v>
      </c>
      <c r="G7" s="638">
        <v>3735</v>
      </c>
      <c r="H7" s="638">
        <v>3618</v>
      </c>
      <c r="I7" s="638">
        <v>3504</v>
      </c>
      <c r="J7" s="638">
        <v>3394</v>
      </c>
      <c r="K7" s="638">
        <v>3180</v>
      </c>
      <c r="L7" s="638">
        <v>3032</v>
      </c>
      <c r="M7" s="638">
        <v>2804</v>
      </c>
      <c r="N7" s="638">
        <v>2710</v>
      </c>
      <c r="O7" s="638">
        <v>6006</v>
      </c>
      <c r="P7" s="638">
        <v>5721</v>
      </c>
      <c r="Q7" s="638">
        <v>5257</v>
      </c>
      <c r="R7" s="638">
        <v>5187</v>
      </c>
      <c r="S7" s="638">
        <v>4877</v>
      </c>
      <c r="T7" s="638">
        <v>4859</v>
      </c>
      <c r="U7" s="638">
        <v>4155</v>
      </c>
      <c r="V7" s="638">
        <v>7271</v>
      </c>
      <c r="W7" s="638">
        <v>7273</v>
      </c>
      <c r="X7" s="638">
        <v>13703</v>
      </c>
      <c r="Y7" s="638">
        <v>13634</v>
      </c>
      <c r="Z7" s="638">
        <v>13640</v>
      </c>
      <c r="AA7" s="638">
        <v>13884</v>
      </c>
      <c r="AB7" s="638">
        <v>13978</v>
      </c>
      <c r="AC7" s="638">
        <v>17274</v>
      </c>
      <c r="AD7" s="638">
        <v>17378</v>
      </c>
      <c r="AE7" s="638">
        <v>17582</v>
      </c>
      <c r="AF7" s="638">
        <v>17564</v>
      </c>
      <c r="AG7" s="638">
        <v>14100</v>
      </c>
      <c r="AH7" s="638">
        <v>14171</v>
      </c>
      <c r="AI7" s="638">
        <v>14280</v>
      </c>
      <c r="AJ7" s="638">
        <v>7767</v>
      </c>
      <c r="AK7" s="638">
        <v>7812</v>
      </c>
      <c r="AL7" s="638">
        <v>7828.04</v>
      </c>
      <c r="AM7" s="638">
        <v>7818.03</v>
      </c>
      <c r="AN7" s="638">
        <v>7834</v>
      </c>
      <c r="AO7" s="638">
        <v>7834</v>
      </c>
      <c r="AP7" s="638">
        <v>7951.57</v>
      </c>
      <c r="AQ7" s="638">
        <v>7770.42</v>
      </c>
      <c r="AR7" s="638">
        <v>7846.68</v>
      </c>
      <c r="AS7" s="638">
        <v>7998.01</v>
      </c>
      <c r="AT7" s="638">
        <v>8089.6</v>
      </c>
      <c r="AU7" s="638">
        <v>7632.69</v>
      </c>
      <c r="AV7" s="638">
        <v>7679.58</v>
      </c>
      <c r="AW7" s="638">
        <v>7788.83</v>
      </c>
      <c r="AX7" s="638">
        <v>7823.8</v>
      </c>
      <c r="AY7" s="638">
        <v>7900.6</v>
      </c>
      <c r="AZ7" s="638">
        <v>7886</v>
      </c>
      <c r="BA7" s="638">
        <v>7879</v>
      </c>
      <c r="BB7" s="638">
        <v>7864</v>
      </c>
      <c r="BC7" s="638">
        <v>5357</v>
      </c>
      <c r="BD7" s="638">
        <v>5349</v>
      </c>
      <c r="BE7" s="638">
        <v>4831</v>
      </c>
      <c r="BF7" s="638">
        <v>4822</v>
      </c>
    </row>
    <row r="8" spans="1:58" x14ac:dyDescent="0.35">
      <c r="A8" s="639" t="s">
        <v>142</v>
      </c>
      <c r="B8" s="638">
        <v>4699</v>
      </c>
      <c r="C8" s="638">
        <v>4137</v>
      </c>
      <c r="D8" s="638">
        <v>4373</v>
      </c>
      <c r="E8" s="638">
        <v>4753</v>
      </c>
      <c r="F8" s="638">
        <v>5184</v>
      </c>
      <c r="G8" s="638">
        <v>4177</v>
      </c>
      <c r="H8" s="638">
        <v>3980</v>
      </c>
      <c r="I8" s="638">
        <v>5222</v>
      </c>
      <c r="J8" s="638">
        <v>4025</v>
      </c>
      <c r="K8" s="638">
        <v>2989</v>
      </c>
      <c r="L8" s="638">
        <v>3126</v>
      </c>
      <c r="M8" s="638">
        <v>4138</v>
      </c>
      <c r="N8" s="638">
        <v>3684</v>
      </c>
      <c r="O8" s="638">
        <v>3584</v>
      </c>
      <c r="P8" s="638">
        <v>3525</v>
      </c>
      <c r="Q8" s="638">
        <v>2419</v>
      </c>
      <c r="R8" s="638">
        <v>2380</v>
      </c>
      <c r="S8" s="638">
        <v>2661</v>
      </c>
      <c r="T8" s="638">
        <v>2475</v>
      </c>
      <c r="U8" s="638">
        <v>3226</v>
      </c>
      <c r="V8" s="638">
        <v>3365</v>
      </c>
      <c r="W8" s="638">
        <v>2960</v>
      </c>
      <c r="X8" s="638">
        <v>2951</v>
      </c>
      <c r="Y8" s="638">
        <v>2191</v>
      </c>
      <c r="Z8" s="638">
        <v>2685</v>
      </c>
      <c r="AA8" s="638">
        <v>1706</v>
      </c>
      <c r="AB8" s="638">
        <v>2197</v>
      </c>
      <c r="AC8" s="638">
        <v>5742</v>
      </c>
      <c r="AD8" s="638">
        <v>4874.8</v>
      </c>
      <c r="AE8" s="638">
        <v>4519.3</v>
      </c>
      <c r="AF8" s="638">
        <v>4705</v>
      </c>
      <c r="AG8" s="638">
        <v>3232</v>
      </c>
      <c r="AH8" s="638">
        <v>3467</v>
      </c>
      <c r="AI8" s="638">
        <v>3286</v>
      </c>
      <c r="AJ8" s="638">
        <v>3260</v>
      </c>
      <c r="AK8" s="638">
        <v>3937</v>
      </c>
      <c r="AL8" s="638">
        <v>5337.75</v>
      </c>
      <c r="AM8" s="638">
        <v>6018</v>
      </c>
      <c r="AN8" s="638">
        <v>6279</v>
      </c>
      <c r="AO8" s="638">
        <v>5798.2</v>
      </c>
      <c r="AP8" s="638">
        <v>11267.04</v>
      </c>
      <c r="AQ8" s="638">
        <v>16805.439999999999</v>
      </c>
      <c r="AR8" s="638">
        <v>21716.94</v>
      </c>
      <c r="AS8" s="638">
        <v>23925.48</v>
      </c>
      <c r="AT8" s="638">
        <v>21948</v>
      </c>
      <c r="AU8" s="638">
        <v>25632.799999999999</v>
      </c>
      <c r="AV8" s="638">
        <v>25316.42</v>
      </c>
      <c r="AW8" s="638">
        <v>23191.79</v>
      </c>
      <c r="AX8" s="638">
        <v>23072.959999999999</v>
      </c>
      <c r="AY8" s="638">
        <v>28509.5</v>
      </c>
      <c r="AZ8" s="638">
        <v>27338</v>
      </c>
      <c r="BA8" s="638">
        <v>32767</v>
      </c>
      <c r="BB8" s="638">
        <v>34306</v>
      </c>
      <c r="BC8" s="638">
        <v>31498.74</v>
      </c>
      <c r="BD8" s="638">
        <v>30791.040000000001</v>
      </c>
      <c r="BE8" s="638">
        <v>29586.89</v>
      </c>
      <c r="BF8" s="638">
        <v>32478.71</v>
      </c>
    </row>
    <row r="9" spans="1:58" x14ac:dyDescent="0.35">
      <c r="A9" s="649"/>
      <c r="B9" s="645"/>
      <c r="C9" s="645"/>
      <c r="D9" s="645"/>
      <c r="E9" s="645"/>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row>
    <row r="10" spans="1:58" x14ac:dyDescent="0.35">
      <c r="A10" s="648" t="s">
        <v>617</v>
      </c>
      <c r="B10" s="641">
        <v>1916.7</v>
      </c>
      <c r="C10" s="641">
        <v>2037.9</v>
      </c>
      <c r="D10" s="641">
        <v>2004</v>
      </c>
      <c r="E10" s="641">
        <v>2033</v>
      </c>
      <c r="F10" s="641">
        <v>2100.3000000000002</v>
      </c>
      <c r="G10" s="641">
        <v>2040</v>
      </c>
      <c r="H10" s="641">
        <v>2024</v>
      </c>
      <c r="I10" s="641">
        <v>2658</v>
      </c>
      <c r="J10" s="641">
        <v>2696</v>
      </c>
      <c r="K10" s="641">
        <v>2644</v>
      </c>
      <c r="L10" s="641">
        <v>2527</v>
      </c>
      <c r="M10" s="641">
        <v>2482</v>
      </c>
      <c r="N10" s="641">
        <v>2557</v>
      </c>
      <c r="O10" s="641">
        <v>2475</v>
      </c>
      <c r="P10" s="641">
        <v>2441</v>
      </c>
      <c r="Q10" s="641">
        <v>3452</v>
      </c>
      <c r="R10" s="641">
        <v>2789</v>
      </c>
      <c r="S10" s="641">
        <v>2783</v>
      </c>
      <c r="T10" s="641">
        <v>2625</v>
      </c>
      <c r="U10" s="641">
        <v>1903</v>
      </c>
      <c r="V10" s="641">
        <v>1679</v>
      </c>
      <c r="W10" s="641">
        <v>1670</v>
      </c>
      <c r="X10" s="641">
        <v>1541</v>
      </c>
      <c r="Y10" s="641">
        <v>1536</v>
      </c>
      <c r="Z10" s="641">
        <v>1407</v>
      </c>
      <c r="AA10" s="641">
        <v>1392</v>
      </c>
      <c r="AB10" s="641">
        <v>1306</v>
      </c>
      <c r="AC10" s="641">
        <v>1300</v>
      </c>
      <c r="AD10" s="641">
        <v>1204</v>
      </c>
      <c r="AE10" s="641">
        <v>782</v>
      </c>
      <c r="AF10" s="641">
        <v>685</v>
      </c>
      <c r="AG10" s="641">
        <v>71</v>
      </c>
      <c r="AH10" s="641">
        <v>70</v>
      </c>
      <c r="AI10" s="641">
        <v>68</v>
      </c>
      <c r="AJ10" s="641">
        <v>67</v>
      </c>
      <c r="AK10" s="641">
        <v>66</v>
      </c>
      <c r="AL10" s="641">
        <v>64.47</v>
      </c>
      <c r="AM10" s="641">
        <v>63.22</v>
      </c>
      <c r="AN10" s="641">
        <v>61.97</v>
      </c>
      <c r="AO10" s="641">
        <v>29.470000000000002</v>
      </c>
      <c r="AP10" s="641">
        <v>29.470000000000002</v>
      </c>
      <c r="AQ10" s="641">
        <v>29.470000000000002</v>
      </c>
      <c r="AR10" s="641">
        <v>29.470000000000002</v>
      </c>
      <c r="AS10" s="641">
        <v>29.470000000000002</v>
      </c>
      <c r="AT10" s="641">
        <v>29.470000000000002</v>
      </c>
      <c r="AU10" s="641">
        <v>29.470000000000002</v>
      </c>
      <c r="AV10" s="641">
        <v>29.470000000000002</v>
      </c>
      <c r="AW10" s="641">
        <v>29.470000000000002</v>
      </c>
      <c r="AX10" s="641">
        <v>29.470000000000002</v>
      </c>
      <c r="AY10" s="641">
        <v>29.470000000000002</v>
      </c>
      <c r="AZ10" s="641">
        <v>29.62</v>
      </c>
      <c r="BA10" s="641">
        <v>29.62</v>
      </c>
      <c r="BB10" s="641">
        <v>29.62</v>
      </c>
      <c r="BC10" s="641">
        <v>29.62</v>
      </c>
      <c r="BD10" s="641">
        <v>29.62</v>
      </c>
      <c r="BE10" s="641">
        <v>24</v>
      </c>
      <c r="BF10" s="641">
        <v>24</v>
      </c>
    </row>
    <row r="11" spans="1:58" x14ac:dyDescent="0.35">
      <c r="A11" s="647" t="s">
        <v>616</v>
      </c>
      <c r="B11" s="641"/>
      <c r="C11" s="641"/>
      <c r="D11" s="641"/>
      <c r="E11" s="641"/>
      <c r="F11" s="641"/>
      <c r="G11" s="641"/>
      <c r="H11" s="641"/>
      <c r="I11" s="641"/>
      <c r="J11" s="641"/>
      <c r="K11" s="641"/>
      <c r="L11" s="641"/>
      <c r="M11" s="641"/>
      <c r="N11" s="641"/>
      <c r="O11" s="641"/>
      <c r="P11" s="641"/>
      <c r="Q11" s="641"/>
      <c r="R11" s="641"/>
      <c r="S11" s="641"/>
      <c r="T11" s="641"/>
      <c r="U11" s="641"/>
      <c r="V11" s="641"/>
      <c r="W11" s="641"/>
      <c r="X11" s="641"/>
      <c r="Y11" s="641"/>
      <c r="Z11" s="641"/>
      <c r="AA11" s="641"/>
      <c r="AB11" s="641"/>
      <c r="AC11" s="641"/>
      <c r="AD11" s="641"/>
      <c r="AE11" s="641"/>
      <c r="AF11" s="641"/>
      <c r="AG11" s="641"/>
      <c r="AH11" s="641"/>
      <c r="AI11" s="641"/>
      <c r="AJ11" s="641"/>
      <c r="AK11" s="641"/>
      <c r="AL11" s="641"/>
      <c r="AM11" s="641"/>
      <c r="AN11" s="641"/>
      <c r="AO11" s="641"/>
      <c r="AP11" s="641"/>
      <c r="AQ11" s="641"/>
      <c r="AR11" s="641"/>
      <c r="AS11" s="641"/>
      <c r="AT11" s="641"/>
      <c r="AU11" s="641"/>
      <c r="AV11" s="641"/>
      <c r="AW11" s="641"/>
      <c r="AX11" s="641"/>
      <c r="AY11" s="641"/>
      <c r="AZ11" s="641"/>
      <c r="BA11" s="641"/>
      <c r="BB11" s="641"/>
      <c r="BC11" s="641"/>
      <c r="BD11" s="641"/>
      <c r="BE11" s="641"/>
      <c r="BF11" s="641"/>
    </row>
    <row r="12" spans="1:58" ht="5.25" customHeight="1" x14ac:dyDescent="0.35">
      <c r="A12" s="122"/>
      <c r="B12" s="646"/>
      <c r="C12" s="646"/>
      <c r="D12" s="646"/>
      <c r="E12" s="646"/>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row>
    <row r="13" spans="1:58" x14ac:dyDescent="0.35">
      <c r="A13" s="643" t="s">
        <v>615</v>
      </c>
      <c r="B13" s="641">
        <v>191</v>
      </c>
      <c r="C13" s="641">
        <v>371</v>
      </c>
      <c r="D13" s="641">
        <v>353</v>
      </c>
      <c r="E13" s="641">
        <v>323</v>
      </c>
      <c r="F13" s="641">
        <v>303</v>
      </c>
      <c r="G13" s="641">
        <v>285</v>
      </c>
      <c r="H13" s="641">
        <v>265</v>
      </c>
      <c r="I13" s="641">
        <v>439</v>
      </c>
      <c r="J13" s="641">
        <v>412</v>
      </c>
      <c r="K13" s="641">
        <v>389</v>
      </c>
      <c r="L13" s="641">
        <v>367</v>
      </c>
      <c r="M13" s="641">
        <v>347</v>
      </c>
      <c r="N13" s="641">
        <v>319</v>
      </c>
      <c r="O13" s="641">
        <v>299</v>
      </c>
      <c r="P13" s="641">
        <v>276</v>
      </c>
      <c r="Q13" s="641">
        <v>262</v>
      </c>
      <c r="R13" s="641">
        <v>240</v>
      </c>
      <c r="S13" s="641">
        <v>225</v>
      </c>
      <c r="T13" s="641">
        <v>196</v>
      </c>
      <c r="U13" s="641">
        <v>168</v>
      </c>
      <c r="V13" s="641">
        <v>70</v>
      </c>
      <c r="W13" s="641">
        <v>65</v>
      </c>
      <c r="X13" s="641">
        <v>63</v>
      </c>
      <c r="Y13" s="641">
        <v>61</v>
      </c>
      <c r="Z13" s="641">
        <v>59</v>
      </c>
      <c r="AA13" s="641">
        <v>57</v>
      </c>
      <c r="AB13" s="641">
        <v>55</v>
      </c>
      <c r="AC13" s="641">
        <v>53</v>
      </c>
      <c r="AD13" s="641">
        <v>51</v>
      </c>
      <c r="AE13" s="641">
        <v>50</v>
      </c>
      <c r="AF13" s="641">
        <v>42</v>
      </c>
      <c r="AG13" s="641">
        <v>41</v>
      </c>
      <c r="AH13" s="641">
        <v>40</v>
      </c>
      <c r="AI13" s="641">
        <v>38</v>
      </c>
      <c r="AJ13" s="641">
        <v>37</v>
      </c>
      <c r="AK13" s="641">
        <v>36</v>
      </c>
      <c r="AL13" s="641">
        <v>35</v>
      </c>
      <c r="AM13" s="641">
        <v>33.75</v>
      </c>
      <c r="AN13" s="641">
        <v>32.5</v>
      </c>
      <c r="AO13" s="641">
        <v>0</v>
      </c>
      <c r="AP13" s="641">
        <v>0</v>
      </c>
      <c r="AQ13" s="641">
        <v>0</v>
      </c>
      <c r="AR13" s="641">
        <v>0</v>
      </c>
      <c r="AS13" s="641">
        <v>0</v>
      </c>
      <c r="AT13" s="641">
        <v>0</v>
      </c>
      <c r="AU13" s="641">
        <v>0</v>
      </c>
      <c r="AV13" s="641">
        <v>0</v>
      </c>
      <c r="AW13" s="641">
        <v>0</v>
      </c>
      <c r="AX13" s="641">
        <v>0</v>
      </c>
      <c r="AY13" s="641">
        <v>0</v>
      </c>
      <c r="AZ13" s="641">
        <v>0</v>
      </c>
      <c r="BA13" s="641">
        <v>0</v>
      </c>
      <c r="BB13" s="641">
        <v>0</v>
      </c>
      <c r="BC13" s="641">
        <v>0</v>
      </c>
      <c r="BD13" s="641">
        <v>0</v>
      </c>
      <c r="BE13" s="641">
        <v>0</v>
      </c>
      <c r="BF13" s="641">
        <v>0</v>
      </c>
    </row>
    <row r="14" spans="1:58" x14ac:dyDescent="0.35">
      <c r="A14" s="639" t="s">
        <v>613</v>
      </c>
      <c r="B14" s="638">
        <v>122</v>
      </c>
      <c r="C14" s="638">
        <v>121</v>
      </c>
      <c r="D14" s="638">
        <v>118</v>
      </c>
      <c r="E14" s="638">
        <v>109</v>
      </c>
      <c r="F14" s="638">
        <v>106</v>
      </c>
      <c r="G14" s="638">
        <v>105</v>
      </c>
      <c r="H14" s="638">
        <v>102</v>
      </c>
      <c r="I14" s="638">
        <v>93</v>
      </c>
      <c r="J14" s="638">
        <v>90</v>
      </c>
      <c r="K14" s="638">
        <v>89</v>
      </c>
      <c r="L14" s="638">
        <v>86</v>
      </c>
      <c r="M14" s="638">
        <v>85</v>
      </c>
      <c r="N14" s="638">
        <v>82</v>
      </c>
      <c r="O14" s="638">
        <v>81</v>
      </c>
      <c r="P14" s="638">
        <v>78</v>
      </c>
      <c r="Q14" s="638">
        <v>77</v>
      </c>
      <c r="R14" s="638">
        <v>74</v>
      </c>
      <c r="S14" s="638">
        <v>73</v>
      </c>
      <c r="T14" s="638">
        <v>70</v>
      </c>
      <c r="U14" s="638">
        <v>69</v>
      </c>
      <c r="V14" s="638">
        <v>67</v>
      </c>
      <c r="W14" s="638">
        <v>65</v>
      </c>
      <c r="X14" s="638">
        <v>63</v>
      </c>
      <c r="Y14" s="638">
        <v>61</v>
      </c>
      <c r="Z14" s="638">
        <v>59</v>
      </c>
      <c r="AA14" s="638">
        <v>57</v>
      </c>
      <c r="AB14" s="638">
        <v>55</v>
      </c>
      <c r="AC14" s="638">
        <v>53</v>
      </c>
      <c r="AD14" s="638">
        <v>51</v>
      </c>
      <c r="AE14" s="638">
        <v>50</v>
      </c>
      <c r="AF14" s="638">
        <v>42</v>
      </c>
      <c r="AG14" s="638">
        <v>41</v>
      </c>
      <c r="AH14" s="638">
        <v>40</v>
      </c>
      <c r="AI14" s="638">
        <v>38</v>
      </c>
      <c r="AJ14" s="638">
        <v>37</v>
      </c>
      <c r="AK14" s="638">
        <v>36</v>
      </c>
      <c r="AL14" s="638">
        <v>35</v>
      </c>
      <c r="AM14" s="638">
        <v>33.75</v>
      </c>
      <c r="AN14" s="638">
        <v>32.5</v>
      </c>
      <c r="AO14" s="638">
        <v>0</v>
      </c>
      <c r="AP14" s="638">
        <v>0</v>
      </c>
      <c r="AQ14" s="638">
        <v>0</v>
      </c>
      <c r="AR14" s="638">
        <v>0</v>
      </c>
      <c r="AS14" s="638">
        <v>0</v>
      </c>
      <c r="AT14" s="638">
        <v>0</v>
      </c>
      <c r="AU14" s="638">
        <v>0</v>
      </c>
      <c r="AV14" s="638">
        <v>0</v>
      </c>
      <c r="AW14" s="638">
        <v>0</v>
      </c>
      <c r="AX14" s="638">
        <v>0</v>
      </c>
      <c r="AY14" s="638">
        <v>0</v>
      </c>
      <c r="AZ14" s="638">
        <v>0</v>
      </c>
      <c r="BA14" s="638">
        <v>0</v>
      </c>
      <c r="BB14" s="638">
        <v>0</v>
      </c>
      <c r="BC14" s="638">
        <v>0</v>
      </c>
      <c r="BD14" s="638">
        <v>0</v>
      </c>
      <c r="BE14" s="638">
        <v>0</v>
      </c>
      <c r="BF14" s="638">
        <v>0</v>
      </c>
    </row>
    <row r="15" spans="1:58" x14ac:dyDescent="0.35">
      <c r="A15" s="639" t="s">
        <v>610</v>
      </c>
      <c r="B15" s="638">
        <v>69</v>
      </c>
      <c r="C15" s="638">
        <v>250</v>
      </c>
      <c r="D15" s="638">
        <v>235</v>
      </c>
      <c r="E15" s="638">
        <v>214</v>
      </c>
      <c r="F15" s="638">
        <v>197</v>
      </c>
      <c r="G15" s="638">
        <v>180</v>
      </c>
      <c r="H15" s="638">
        <v>163</v>
      </c>
      <c r="I15" s="638">
        <v>346</v>
      </c>
      <c r="J15" s="638">
        <v>322</v>
      </c>
      <c r="K15" s="638">
        <v>300</v>
      </c>
      <c r="L15" s="638">
        <v>281</v>
      </c>
      <c r="M15" s="638">
        <v>262</v>
      </c>
      <c r="N15" s="638">
        <v>237</v>
      </c>
      <c r="O15" s="638">
        <v>218</v>
      </c>
      <c r="P15" s="638">
        <v>198</v>
      </c>
      <c r="Q15" s="638">
        <v>185</v>
      </c>
      <c r="R15" s="638">
        <v>166</v>
      </c>
      <c r="S15" s="638">
        <v>152</v>
      </c>
      <c r="T15" s="638">
        <v>126</v>
      </c>
      <c r="U15" s="638">
        <v>99</v>
      </c>
      <c r="V15" s="638">
        <v>3</v>
      </c>
      <c r="W15" s="638">
        <v>0</v>
      </c>
      <c r="X15" s="638">
        <v>0</v>
      </c>
      <c r="Y15" s="638">
        <v>0</v>
      </c>
      <c r="Z15" s="638">
        <v>0</v>
      </c>
      <c r="AA15" s="638">
        <v>0</v>
      </c>
      <c r="AB15" s="638">
        <v>0</v>
      </c>
      <c r="AC15" s="638">
        <v>0</v>
      </c>
      <c r="AD15" s="638">
        <v>0</v>
      </c>
      <c r="AE15" s="638">
        <v>0</v>
      </c>
      <c r="AF15" s="638">
        <v>0</v>
      </c>
      <c r="AG15" s="638">
        <v>0</v>
      </c>
      <c r="AH15" s="638">
        <v>0</v>
      </c>
      <c r="AI15" s="638">
        <v>0</v>
      </c>
      <c r="AJ15" s="638">
        <v>0</v>
      </c>
      <c r="AK15" s="638">
        <v>0</v>
      </c>
      <c r="AL15" s="638">
        <v>0</v>
      </c>
      <c r="AM15" s="638">
        <v>0</v>
      </c>
      <c r="AN15" s="638">
        <v>0</v>
      </c>
      <c r="AO15" s="638">
        <v>0</v>
      </c>
      <c r="AP15" s="638">
        <v>0</v>
      </c>
      <c r="AQ15" s="638">
        <v>0</v>
      </c>
      <c r="AR15" s="638">
        <v>0</v>
      </c>
      <c r="AS15" s="638">
        <v>0</v>
      </c>
      <c r="AT15" s="638">
        <v>0</v>
      </c>
      <c r="AU15" s="638">
        <v>0</v>
      </c>
      <c r="AV15" s="638">
        <v>0</v>
      </c>
      <c r="AW15" s="638">
        <v>0</v>
      </c>
      <c r="AX15" s="638">
        <v>0</v>
      </c>
      <c r="AY15" s="638">
        <v>0</v>
      </c>
      <c r="AZ15" s="638">
        <v>0</v>
      </c>
      <c r="BA15" s="638">
        <v>0</v>
      </c>
      <c r="BB15" s="638">
        <v>0</v>
      </c>
      <c r="BC15" s="638">
        <v>0</v>
      </c>
      <c r="BD15" s="638">
        <v>0</v>
      </c>
      <c r="BE15" s="638">
        <v>0</v>
      </c>
      <c r="BF15" s="638">
        <v>0</v>
      </c>
    </row>
    <row r="16" spans="1:58" x14ac:dyDescent="0.35">
      <c r="A16" s="402"/>
      <c r="B16" s="645"/>
      <c r="C16" s="645"/>
      <c r="D16" s="645"/>
      <c r="E16" s="645"/>
      <c r="F16" s="645"/>
      <c r="G16" s="645"/>
      <c r="H16" s="122"/>
      <c r="I16" s="644"/>
      <c r="J16" s="644"/>
      <c r="K16" s="644"/>
      <c r="L16" s="644"/>
      <c r="M16" s="644"/>
      <c r="N16" s="644"/>
      <c r="O16" s="644"/>
      <c r="P16" s="644"/>
      <c r="Q16" s="644"/>
      <c r="R16" s="644"/>
      <c r="S16" s="644"/>
      <c r="T16" s="644"/>
      <c r="U16" s="644"/>
      <c r="V16" s="644"/>
      <c r="W16" s="644"/>
      <c r="X16" s="644"/>
      <c r="Y16" s="644"/>
      <c r="Z16" s="644"/>
      <c r="AA16" s="644"/>
      <c r="AB16" s="644"/>
      <c r="AC16" s="644"/>
      <c r="AD16" s="644"/>
      <c r="AE16" s="644"/>
      <c r="AF16" s="644"/>
      <c r="AG16" s="644"/>
      <c r="AH16" s="644"/>
      <c r="AI16" s="644"/>
      <c r="AJ16" s="644"/>
      <c r="AK16" s="644"/>
      <c r="AL16" s="644"/>
      <c r="AM16" s="644"/>
      <c r="AN16" s="644"/>
      <c r="AO16" s="644"/>
      <c r="AP16" s="644"/>
      <c r="AQ16" s="644"/>
      <c r="AR16" s="644"/>
      <c r="AS16" s="644"/>
      <c r="AT16" s="644"/>
      <c r="AU16" s="644"/>
      <c r="AV16" s="644"/>
      <c r="AW16" s="644"/>
      <c r="AX16" s="644"/>
      <c r="AY16" s="644"/>
      <c r="AZ16" s="644"/>
      <c r="BA16" s="644"/>
      <c r="BB16" s="644"/>
      <c r="BC16" s="644"/>
      <c r="BD16" s="644"/>
      <c r="BE16" s="644"/>
      <c r="BF16" s="644"/>
    </row>
    <row r="17" spans="1:58" x14ac:dyDescent="0.35">
      <c r="A17" s="643" t="s">
        <v>614</v>
      </c>
      <c r="B17" s="641">
        <v>1614.7</v>
      </c>
      <c r="C17" s="641">
        <v>1555.9</v>
      </c>
      <c r="D17" s="641">
        <v>1540</v>
      </c>
      <c r="E17" s="641">
        <v>1599</v>
      </c>
      <c r="F17" s="641">
        <v>1686.3</v>
      </c>
      <c r="G17" s="641">
        <v>1644</v>
      </c>
      <c r="H17" s="641">
        <v>1610</v>
      </c>
      <c r="I17" s="641">
        <v>2189</v>
      </c>
      <c r="J17" s="641">
        <v>2254</v>
      </c>
      <c r="K17" s="641">
        <v>2225</v>
      </c>
      <c r="L17" s="641">
        <v>2130</v>
      </c>
      <c r="M17" s="641">
        <v>2105</v>
      </c>
      <c r="N17" s="641">
        <v>2208</v>
      </c>
      <c r="O17" s="641">
        <v>2146</v>
      </c>
      <c r="P17" s="641">
        <v>2135</v>
      </c>
      <c r="Q17" s="641">
        <v>3160</v>
      </c>
      <c r="R17" s="641">
        <v>2519</v>
      </c>
      <c r="S17" s="641">
        <v>2528</v>
      </c>
      <c r="T17" s="641">
        <v>2399</v>
      </c>
      <c r="U17" s="641">
        <v>1705</v>
      </c>
      <c r="V17" s="641">
        <v>1579</v>
      </c>
      <c r="W17" s="641">
        <v>1575</v>
      </c>
      <c r="X17" s="641">
        <v>1448</v>
      </c>
      <c r="Y17" s="641">
        <v>1445</v>
      </c>
      <c r="Z17" s="641">
        <v>1318</v>
      </c>
      <c r="AA17" s="641">
        <v>1305</v>
      </c>
      <c r="AB17" s="641">
        <v>1221</v>
      </c>
      <c r="AC17" s="641">
        <v>1217</v>
      </c>
      <c r="AD17" s="641">
        <v>1123</v>
      </c>
      <c r="AE17" s="641">
        <v>702</v>
      </c>
      <c r="AF17" s="641">
        <v>613</v>
      </c>
      <c r="AG17" s="641">
        <v>0</v>
      </c>
      <c r="AH17" s="641">
        <v>0</v>
      </c>
      <c r="AI17" s="641">
        <v>0</v>
      </c>
      <c r="AJ17" s="641">
        <v>0</v>
      </c>
      <c r="AK17" s="641">
        <v>0</v>
      </c>
      <c r="AL17" s="641">
        <v>0</v>
      </c>
      <c r="AM17" s="641">
        <v>0</v>
      </c>
      <c r="AN17" s="641">
        <v>0</v>
      </c>
      <c r="AO17" s="641">
        <v>0</v>
      </c>
      <c r="AP17" s="641">
        <v>0</v>
      </c>
      <c r="AQ17" s="641">
        <v>0</v>
      </c>
      <c r="AR17" s="641">
        <v>0</v>
      </c>
      <c r="AS17" s="641">
        <v>0</v>
      </c>
      <c r="AT17" s="641">
        <v>0</v>
      </c>
      <c r="AU17" s="641">
        <v>0</v>
      </c>
      <c r="AV17" s="641">
        <v>0</v>
      </c>
      <c r="AW17" s="641">
        <v>0</v>
      </c>
      <c r="AX17" s="641">
        <v>0</v>
      </c>
      <c r="AY17" s="641">
        <v>0</v>
      </c>
      <c r="AZ17" s="641">
        <v>0</v>
      </c>
      <c r="BA17" s="641">
        <v>0</v>
      </c>
      <c r="BB17" s="641">
        <v>0</v>
      </c>
      <c r="BC17" s="641">
        <v>0</v>
      </c>
      <c r="BD17" s="641">
        <v>0</v>
      </c>
      <c r="BE17" s="641">
        <v>0</v>
      </c>
      <c r="BF17" s="641">
        <v>0</v>
      </c>
    </row>
    <row r="18" spans="1:58" x14ac:dyDescent="0.35">
      <c r="A18" s="639" t="s">
        <v>613</v>
      </c>
      <c r="B18" s="638">
        <v>407.7</v>
      </c>
      <c r="C18" s="638">
        <v>374.9</v>
      </c>
      <c r="D18" s="638">
        <v>363</v>
      </c>
      <c r="E18" s="638">
        <v>339</v>
      </c>
      <c r="F18" s="638">
        <v>327.3</v>
      </c>
      <c r="G18" s="638">
        <v>303</v>
      </c>
      <c r="H18" s="122">
        <v>291</v>
      </c>
      <c r="I18" s="122">
        <v>265</v>
      </c>
      <c r="J18" s="122">
        <v>253</v>
      </c>
      <c r="K18" s="122">
        <v>226</v>
      </c>
      <c r="L18" s="122">
        <v>214</v>
      </c>
      <c r="M18" s="122">
        <v>186</v>
      </c>
      <c r="N18" s="122">
        <v>176</v>
      </c>
      <c r="O18" s="122">
        <v>143</v>
      </c>
      <c r="P18" s="122">
        <v>133</v>
      </c>
      <c r="Q18" s="122">
        <v>129</v>
      </c>
      <c r="R18" s="122">
        <v>115</v>
      </c>
      <c r="S18" s="122">
        <v>115</v>
      </c>
      <c r="T18" s="122">
        <v>106</v>
      </c>
      <c r="U18" s="122">
        <v>102</v>
      </c>
      <c r="V18" s="122">
        <v>92</v>
      </c>
      <c r="W18" s="122">
        <v>89</v>
      </c>
      <c r="X18" s="122">
        <v>79</v>
      </c>
      <c r="Y18" s="122">
        <v>75</v>
      </c>
      <c r="Z18" s="122">
        <v>65</v>
      </c>
      <c r="AA18" s="122">
        <v>61</v>
      </c>
      <c r="AB18" s="122">
        <v>52</v>
      </c>
      <c r="AC18" s="122">
        <v>48</v>
      </c>
      <c r="AD18" s="122">
        <v>38</v>
      </c>
      <c r="AE18" s="122">
        <v>38</v>
      </c>
      <c r="AF18" s="122">
        <v>0</v>
      </c>
      <c r="AG18" s="122">
        <v>0</v>
      </c>
      <c r="AH18" s="122">
        <v>0</v>
      </c>
      <c r="AI18" s="122">
        <v>0</v>
      </c>
      <c r="AJ18" s="122">
        <v>0</v>
      </c>
      <c r="AK18" s="122">
        <v>0</v>
      </c>
      <c r="AL18" s="122">
        <v>0</v>
      </c>
      <c r="AM18" s="122">
        <v>0</v>
      </c>
      <c r="AN18" s="122">
        <v>0</v>
      </c>
      <c r="AO18" s="122">
        <v>0</v>
      </c>
      <c r="AP18" s="122">
        <v>0</v>
      </c>
      <c r="AQ18" s="122">
        <v>0</v>
      </c>
      <c r="AR18" s="122">
        <v>0</v>
      </c>
      <c r="AS18" s="122">
        <v>0</v>
      </c>
      <c r="AT18" s="122">
        <v>0</v>
      </c>
      <c r="AU18" s="122">
        <v>0</v>
      </c>
      <c r="AV18" s="122">
        <v>0</v>
      </c>
      <c r="AW18" s="122">
        <v>0</v>
      </c>
      <c r="AX18" s="122">
        <v>0</v>
      </c>
      <c r="AY18" s="122">
        <v>0</v>
      </c>
      <c r="AZ18" s="122">
        <v>0</v>
      </c>
      <c r="BA18" s="122">
        <v>0</v>
      </c>
      <c r="BB18" s="122">
        <v>0</v>
      </c>
      <c r="BC18" s="122">
        <v>0</v>
      </c>
      <c r="BD18" s="122">
        <v>0</v>
      </c>
      <c r="BE18" s="122">
        <v>0</v>
      </c>
      <c r="BF18" s="122">
        <v>0</v>
      </c>
    </row>
    <row r="19" spans="1:58" x14ac:dyDescent="0.35">
      <c r="A19" s="639" t="s">
        <v>610</v>
      </c>
      <c r="B19" s="638">
        <v>1207</v>
      </c>
      <c r="C19" s="638">
        <v>1181</v>
      </c>
      <c r="D19" s="638">
        <v>1177</v>
      </c>
      <c r="E19" s="638">
        <v>1260</v>
      </c>
      <c r="F19" s="638">
        <v>1359</v>
      </c>
      <c r="G19" s="638">
        <v>1341</v>
      </c>
      <c r="H19" s="638">
        <v>1319</v>
      </c>
      <c r="I19" s="638">
        <v>1924</v>
      </c>
      <c r="J19" s="638">
        <v>2001</v>
      </c>
      <c r="K19" s="638">
        <v>1999</v>
      </c>
      <c r="L19" s="638">
        <v>1916</v>
      </c>
      <c r="M19" s="638">
        <v>1919</v>
      </c>
      <c r="N19" s="638">
        <v>2032</v>
      </c>
      <c r="O19" s="638">
        <v>2003</v>
      </c>
      <c r="P19" s="638">
        <v>2002</v>
      </c>
      <c r="Q19" s="638">
        <v>3031</v>
      </c>
      <c r="R19" s="638">
        <v>2404</v>
      </c>
      <c r="S19" s="638">
        <v>2413</v>
      </c>
      <c r="T19" s="638">
        <v>2293</v>
      </c>
      <c r="U19" s="638">
        <v>1603</v>
      </c>
      <c r="V19" s="638">
        <v>1487</v>
      </c>
      <c r="W19" s="638">
        <v>1486</v>
      </c>
      <c r="X19" s="638">
        <v>1369</v>
      </c>
      <c r="Y19" s="638">
        <v>1370</v>
      </c>
      <c r="Z19" s="638">
        <v>1253</v>
      </c>
      <c r="AA19" s="638">
        <v>1244</v>
      </c>
      <c r="AB19" s="638">
        <v>1169</v>
      </c>
      <c r="AC19" s="638">
        <v>1169</v>
      </c>
      <c r="AD19" s="638">
        <v>1085</v>
      </c>
      <c r="AE19" s="638">
        <v>664</v>
      </c>
      <c r="AF19" s="638">
        <v>613</v>
      </c>
      <c r="AG19" s="638">
        <v>0</v>
      </c>
      <c r="AH19" s="638">
        <v>0</v>
      </c>
      <c r="AI19" s="638">
        <v>0</v>
      </c>
      <c r="AJ19" s="638">
        <v>0</v>
      </c>
      <c r="AK19" s="638">
        <v>0</v>
      </c>
      <c r="AL19" s="638">
        <v>0</v>
      </c>
      <c r="AM19" s="638">
        <v>0</v>
      </c>
      <c r="AN19" s="638">
        <v>0</v>
      </c>
      <c r="AO19" s="638">
        <v>0</v>
      </c>
      <c r="AP19" s="638">
        <v>0</v>
      </c>
      <c r="AQ19" s="638">
        <v>0</v>
      </c>
      <c r="AR19" s="638">
        <v>0</v>
      </c>
      <c r="AS19" s="638">
        <v>0</v>
      </c>
      <c r="AT19" s="638">
        <v>0</v>
      </c>
      <c r="AU19" s="638">
        <v>0</v>
      </c>
      <c r="AV19" s="638">
        <v>0</v>
      </c>
      <c r="AW19" s="638">
        <v>0</v>
      </c>
      <c r="AX19" s="638">
        <v>0</v>
      </c>
      <c r="AY19" s="638">
        <v>0</v>
      </c>
      <c r="AZ19" s="638">
        <v>0</v>
      </c>
      <c r="BA19" s="638">
        <v>0</v>
      </c>
      <c r="BB19" s="638">
        <v>0</v>
      </c>
      <c r="BC19" s="638">
        <v>0</v>
      </c>
      <c r="BD19" s="638">
        <v>0</v>
      </c>
      <c r="BE19" s="638">
        <v>0</v>
      </c>
      <c r="BF19" s="638">
        <v>0</v>
      </c>
    </row>
    <row r="20" spans="1:58" x14ac:dyDescent="0.35">
      <c r="A20" s="402"/>
      <c r="B20" s="645"/>
      <c r="C20" s="645"/>
      <c r="D20" s="645"/>
      <c r="E20" s="645"/>
      <c r="F20" s="645"/>
      <c r="G20" s="645"/>
      <c r="H20" s="122"/>
      <c r="I20" s="644"/>
      <c r="J20" s="644"/>
      <c r="K20" s="644"/>
      <c r="L20" s="644"/>
      <c r="M20" s="644"/>
      <c r="N20" s="644"/>
      <c r="O20" s="644"/>
      <c r="P20" s="644"/>
      <c r="Q20" s="644"/>
      <c r="R20" s="644"/>
      <c r="S20" s="644"/>
      <c r="T20" s="644"/>
      <c r="U20" s="644"/>
      <c r="V20" s="644"/>
      <c r="W20" s="644"/>
      <c r="X20" s="644"/>
      <c r="Y20" s="644"/>
      <c r="Z20" s="644"/>
      <c r="AA20" s="644"/>
      <c r="AB20" s="644"/>
      <c r="AC20" s="644"/>
      <c r="AD20" s="644"/>
      <c r="AE20" s="644"/>
      <c r="AF20" s="644"/>
      <c r="AG20" s="644"/>
      <c r="AH20" s="644"/>
      <c r="AI20" s="644"/>
      <c r="AJ20" s="644"/>
      <c r="AK20" s="644"/>
      <c r="AL20" s="644"/>
      <c r="AM20" s="644"/>
      <c r="AN20" s="644"/>
      <c r="AO20" s="644"/>
      <c r="AP20" s="644"/>
      <c r="AQ20" s="644"/>
      <c r="AR20" s="644"/>
      <c r="AS20" s="644"/>
      <c r="AT20" s="644"/>
      <c r="AU20" s="644"/>
      <c r="AV20" s="644"/>
      <c r="AW20" s="644"/>
      <c r="AX20" s="644"/>
      <c r="AY20" s="644"/>
      <c r="AZ20" s="644"/>
      <c r="BA20" s="644"/>
      <c r="BB20" s="644"/>
      <c r="BC20" s="644"/>
      <c r="BD20" s="644"/>
      <c r="BE20" s="644"/>
      <c r="BF20" s="644"/>
    </row>
    <row r="21" spans="1:58" x14ac:dyDescent="0.35">
      <c r="A21" s="643" t="s">
        <v>612</v>
      </c>
      <c r="B21" s="641">
        <v>111</v>
      </c>
      <c r="C21" s="641">
        <v>111</v>
      </c>
      <c r="D21" s="641">
        <v>111</v>
      </c>
      <c r="E21" s="641">
        <v>111</v>
      </c>
      <c r="F21" s="641">
        <v>111</v>
      </c>
      <c r="G21" s="641">
        <v>111</v>
      </c>
      <c r="H21" s="641">
        <v>149</v>
      </c>
      <c r="I21" s="641">
        <v>30</v>
      </c>
      <c r="J21" s="641">
        <v>30</v>
      </c>
      <c r="K21" s="641">
        <v>30</v>
      </c>
      <c r="L21" s="641">
        <v>30</v>
      </c>
      <c r="M21" s="641">
        <v>30</v>
      </c>
      <c r="N21" s="641">
        <v>30</v>
      </c>
      <c r="O21" s="641">
        <v>30</v>
      </c>
      <c r="P21" s="641">
        <v>30</v>
      </c>
      <c r="Q21" s="641">
        <v>30</v>
      </c>
      <c r="R21" s="641">
        <v>30</v>
      </c>
      <c r="S21" s="641">
        <v>30</v>
      </c>
      <c r="T21" s="641">
        <v>30</v>
      </c>
      <c r="U21" s="641">
        <v>30</v>
      </c>
      <c r="V21" s="641">
        <v>30</v>
      </c>
      <c r="W21" s="641">
        <v>30</v>
      </c>
      <c r="X21" s="641">
        <v>30</v>
      </c>
      <c r="Y21" s="641">
        <v>30</v>
      </c>
      <c r="Z21" s="641">
        <v>30</v>
      </c>
      <c r="AA21" s="641">
        <v>30</v>
      </c>
      <c r="AB21" s="641">
        <v>30</v>
      </c>
      <c r="AC21" s="641">
        <v>30</v>
      </c>
      <c r="AD21" s="641">
        <v>30</v>
      </c>
      <c r="AE21" s="641">
        <v>30</v>
      </c>
      <c r="AF21" s="641">
        <v>30</v>
      </c>
      <c r="AG21" s="641">
        <v>30</v>
      </c>
      <c r="AH21" s="641">
        <v>30</v>
      </c>
      <c r="AI21" s="641">
        <v>30</v>
      </c>
      <c r="AJ21" s="641">
        <v>30</v>
      </c>
      <c r="AK21" s="641">
        <v>30</v>
      </c>
      <c r="AL21" s="641">
        <v>29.470000000000002</v>
      </c>
      <c r="AM21" s="641">
        <v>29.470000000000002</v>
      </c>
      <c r="AN21" s="641">
        <v>29.470000000000002</v>
      </c>
      <c r="AO21" s="641">
        <v>29.470000000000002</v>
      </c>
      <c r="AP21" s="641">
        <v>29.470000000000002</v>
      </c>
      <c r="AQ21" s="641">
        <v>29.470000000000002</v>
      </c>
      <c r="AR21" s="641">
        <v>29.470000000000002</v>
      </c>
      <c r="AS21" s="641">
        <v>29.470000000000002</v>
      </c>
      <c r="AT21" s="641">
        <v>29.470000000000002</v>
      </c>
      <c r="AU21" s="641">
        <v>29.470000000000002</v>
      </c>
      <c r="AV21" s="641">
        <v>29.470000000000002</v>
      </c>
      <c r="AW21" s="641">
        <v>29.470000000000002</v>
      </c>
      <c r="AX21" s="641">
        <v>29.470000000000002</v>
      </c>
      <c r="AY21" s="641">
        <v>29.470000000000002</v>
      </c>
      <c r="AZ21" s="641">
        <v>29.62</v>
      </c>
      <c r="BA21" s="641">
        <v>29.62</v>
      </c>
      <c r="BB21" s="641">
        <v>29.62</v>
      </c>
      <c r="BC21" s="641">
        <v>29.62</v>
      </c>
      <c r="BD21" s="641">
        <v>29.62</v>
      </c>
      <c r="BE21" s="641">
        <v>24</v>
      </c>
      <c r="BF21" s="641">
        <v>24</v>
      </c>
    </row>
    <row r="22" spans="1:58" x14ac:dyDescent="0.35">
      <c r="A22" s="639" t="s">
        <v>611</v>
      </c>
      <c r="B22" s="638">
        <v>105</v>
      </c>
      <c r="C22" s="638">
        <v>105</v>
      </c>
      <c r="D22" s="638">
        <v>105</v>
      </c>
      <c r="E22" s="638">
        <v>105</v>
      </c>
      <c r="F22" s="638">
        <v>105</v>
      </c>
      <c r="G22" s="638">
        <v>105</v>
      </c>
      <c r="H22" s="638">
        <v>143</v>
      </c>
      <c r="I22" s="638">
        <v>24</v>
      </c>
      <c r="J22" s="638">
        <v>24</v>
      </c>
      <c r="K22" s="638">
        <v>24</v>
      </c>
      <c r="L22" s="638">
        <v>24</v>
      </c>
      <c r="M22" s="638">
        <v>24</v>
      </c>
      <c r="N22" s="638">
        <v>24</v>
      </c>
      <c r="O22" s="638">
        <v>24</v>
      </c>
      <c r="P22" s="638">
        <v>24</v>
      </c>
      <c r="Q22" s="638">
        <v>24</v>
      </c>
      <c r="R22" s="638">
        <v>24</v>
      </c>
      <c r="S22" s="638">
        <v>24</v>
      </c>
      <c r="T22" s="638">
        <v>24</v>
      </c>
      <c r="U22" s="638">
        <v>24</v>
      </c>
      <c r="V22" s="638">
        <v>24</v>
      </c>
      <c r="W22" s="638">
        <v>24</v>
      </c>
      <c r="X22" s="638">
        <v>24</v>
      </c>
      <c r="Y22" s="638">
        <v>24</v>
      </c>
      <c r="Z22" s="638">
        <v>24</v>
      </c>
      <c r="AA22" s="638">
        <v>24</v>
      </c>
      <c r="AB22" s="638">
        <v>24</v>
      </c>
      <c r="AC22" s="638">
        <v>24</v>
      </c>
      <c r="AD22" s="638">
        <v>24</v>
      </c>
      <c r="AE22" s="638">
        <v>24</v>
      </c>
      <c r="AF22" s="638">
        <v>24</v>
      </c>
      <c r="AG22" s="638">
        <v>24</v>
      </c>
      <c r="AH22" s="638">
        <v>24</v>
      </c>
      <c r="AI22" s="638">
        <v>24</v>
      </c>
      <c r="AJ22" s="638">
        <v>24</v>
      </c>
      <c r="AK22" s="638">
        <v>24</v>
      </c>
      <c r="AL22" s="638">
        <v>23.85</v>
      </c>
      <c r="AM22" s="638">
        <v>23.85</v>
      </c>
      <c r="AN22" s="638">
        <v>23.85</v>
      </c>
      <c r="AO22" s="638">
        <v>23.85</v>
      </c>
      <c r="AP22" s="638">
        <v>23.85</v>
      </c>
      <c r="AQ22" s="638">
        <v>23.85</v>
      </c>
      <c r="AR22" s="638">
        <v>23.85</v>
      </c>
      <c r="AS22" s="638">
        <v>23.85</v>
      </c>
      <c r="AT22" s="638">
        <v>23.85</v>
      </c>
      <c r="AU22" s="638">
        <v>23.85</v>
      </c>
      <c r="AV22" s="638">
        <v>23.85</v>
      </c>
      <c r="AW22" s="638">
        <v>23.85</v>
      </c>
      <c r="AX22" s="638">
        <v>23.85</v>
      </c>
      <c r="AY22" s="638">
        <v>23.85</v>
      </c>
      <c r="AZ22" s="638">
        <v>24</v>
      </c>
      <c r="BA22" s="638">
        <v>24</v>
      </c>
      <c r="BB22" s="638">
        <v>24</v>
      </c>
      <c r="BC22" s="638">
        <v>24</v>
      </c>
      <c r="BD22" s="638">
        <v>24</v>
      </c>
      <c r="BE22" s="638">
        <v>24</v>
      </c>
      <c r="BF22" s="638">
        <v>24</v>
      </c>
    </row>
    <row r="23" spans="1:58" x14ac:dyDescent="0.35">
      <c r="A23" s="639" t="s">
        <v>610</v>
      </c>
      <c r="B23" s="638">
        <v>6</v>
      </c>
      <c r="C23" s="638">
        <v>6</v>
      </c>
      <c r="D23" s="638">
        <v>6</v>
      </c>
      <c r="E23" s="638">
        <v>6</v>
      </c>
      <c r="F23" s="638">
        <v>6</v>
      </c>
      <c r="G23" s="638">
        <v>6</v>
      </c>
      <c r="H23" s="638">
        <v>6</v>
      </c>
      <c r="I23" s="638">
        <v>6</v>
      </c>
      <c r="J23" s="638">
        <v>6</v>
      </c>
      <c r="K23" s="638">
        <v>6</v>
      </c>
      <c r="L23" s="638">
        <v>6</v>
      </c>
      <c r="M23" s="638">
        <v>6</v>
      </c>
      <c r="N23" s="638">
        <v>6</v>
      </c>
      <c r="O23" s="638">
        <v>6</v>
      </c>
      <c r="P23" s="638">
        <v>6</v>
      </c>
      <c r="Q23" s="638">
        <v>6</v>
      </c>
      <c r="R23" s="638">
        <v>6</v>
      </c>
      <c r="S23" s="638">
        <v>6</v>
      </c>
      <c r="T23" s="638">
        <v>6</v>
      </c>
      <c r="U23" s="638">
        <v>6</v>
      </c>
      <c r="V23" s="638">
        <v>6</v>
      </c>
      <c r="W23" s="638">
        <v>6</v>
      </c>
      <c r="X23" s="638">
        <v>6</v>
      </c>
      <c r="Y23" s="638">
        <v>6</v>
      </c>
      <c r="Z23" s="638">
        <v>6</v>
      </c>
      <c r="AA23" s="638">
        <v>6</v>
      </c>
      <c r="AB23" s="638">
        <v>6</v>
      </c>
      <c r="AC23" s="638">
        <v>6</v>
      </c>
      <c r="AD23" s="638">
        <v>6</v>
      </c>
      <c r="AE23" s="638">
        <v>6</v>
      </c>
      <c r="AF23" s="638">
        <v>6</v>
      </c>
      <c r="AG23" s="638">
        <v>6</v>
      </c>
      <c r="AH23" s="638">
        <v>6</v>
      </c>
      <c r="AI23" s="638">
        <v>6</v>
      </c>
      <c r="AJ23" s="638">
        <v>6</v>
      </c>
      <c r="AK23" s="638">
        <v>6</v>
      </c>
      <c r="AL23" s="638">
        <v>5.62</v>
      </c>
      <c r="AM23" s="638">
        <v>5.62</v>
      </c>
      <c r="AN23" s="638">
        <v>5.62</v>
      </c>
      <c r="AO23" s="638">
        <v>5.62</v>
      </c>
      <c r="AP23" s="638">
        <v>5.62</v>
      </c>
      <c r="AQ23" s="638">
        <v>5.62</v>
      </c>
      <c r="AR23" s="638">
        <v>5.62</v>
      </c>
      <c r="AS23" s="638">
        <v>5.62</v>
      </c>
      <c r="AT23" s="638">
        <v>5.62</v>
      </c>
      <c r="AU23" s="638">
        <v>5.62</v>
      </c>
      <c r="AV23" s="638">
        <v>5.62</v>
      </c>
      <c r="AW23" s="638">
        <v>5.62</v>
      </c>
      <c r="AX23" s="638">
        <v>5.62</v>
      </c>
      <c r="AY23" s="638">
        <v>5.62</v>
      </c>
      <c r="AZ23" s="638">
        <v>5.62</v>
      </c>
      <c r="BA23" s="638">
        <v>5.62</v>
      </c>
      <c r="BB23" s="638">
        <v>5.62</v>
      </c>
      <c r="BC23" s="638">
        <v>5.62</v>
      </c>
      <c r="BD23" s="638">
        <v>5.62</v>
      </c>
      <c r="BE23" s="638">
        <v>0</v>
      </c>
      <c r="BF23" s="638">
        <v>0</v>
      </c>
    </row>
    <row r="24" spans="1:58" x14ac:dyDescent="0.35">
      <c r="A24" s="639"/>
      <c r="B24" s="638"/>
      <c r="C24" s="638"/>
      <c r="D24" s="638"/>
      <c r="E24" s="638"/>
      <c r="F24" s="638"/>
      <c r="G24" s="638"/>
      <c r="H24" s="638"/>
      <c r="I24" s="638"/>
      <c r="J24" s="638"/>
      <c r="K24" s="638"/>
      <c r="L24" s="638"/>
      <c r="M24" s="638"/>
      <c r="N24" s="638"/>
      <c r="O24" s="638"/>
      <c r="P24" s="638"/>
      <c r="Q24" s="638"/>
      <c r="R24" s="638"/>
      <c r="S24" s="638"/>
      <c r="T24" s="638"/>
      <c r="U24" s="638"/>
      <c r="V24" s="638"/>
      <c r="W24" s="638"/>
      <c r="X24" s="638"/>
      <c r="Y24" s="638"/>
      <c r="Z24" s="638"/>
      <c r="AA24" s="638"/>
      <c r="AB24" s="638"/>
      <c r="AC24" s="638"/>
      <c r="AD24" s="638"/>
      <c r="AE24" s="638"/>
      <c r="AF24" s="638"/>
      <c r="AG24" s="638"/>
      <c r="AH24" s="638"/>
      <c r="AI24" s="638"/>
      <c r="AJ24" s="638"/>
      <c r="AK24" s="638"/>
      <c r="AL24" s="638"/>
      <c r="AM24" s="638"/>
      <c r="AN24" s="638"/>
      <c r="AO24" s="638"/>
      <c r="AP24" s="638"/>
      <c r="AQ24" s="638"/>
      <c r="AR24" s="638"/>
      <c r="AS24" s="638"/>
      <c r="AT24" s="638"/>
      <c r="AU24" s="638"/>
      <c r="AV24" s="638"/>
      <c r="AW24" s="638"/>
      <c r="AX24" s="638"/>
      <c r="AY24" s="638"/>
      <c r="AZ24" s="638"/>
      <c r="BA24" s="638"/>
      <c r="BB24" s="638"/>
      <c r="BC24" s="638"/>
      <c r="BD24" s="638"/>
      <c r="BE24" s="638"/>
      <c r="BF24" s="638"/>
    </row>
    <row r="25" spans="1:58" x14ac:dyDescent="0.35">
      <c r="A25" s="642" t="s">
        <v>609</v>
      </c>
      <c r="B25" s="641">
        <v>391</v>
      </c>
      <c r="C25" s="641">
        <v>385</v>
      </c>
      <c r="D25" s="641">
        <v>381</v>
      </c>
      <c r="E25" s="641">
        <v>380</v>
      </c>
      <c r="F25" s="641">
        <v>334</v>
      </c>
      <c r="G25" s="641">
        <v>329</v>
      </c>
      <c r="H25" s="641">
        <v>315</v>
      </c>
      <c r="I25" s="641">
        <v>702</v>
      </c>
      <c r="J25" s="641">
        <v>860</v>
      </c>
      <c r="K25" s="641">
        <v>648</v>
      </c>
      <c r="L25" s="641">
        <v>634</v>
      </c>
      <c r="M25" s="641">
        <v>463</v>
      </c>
      <c r="N25" s="641">
        <v>478</v>
      </c>
      <c r="O25" s="641">
        <v>466</v>
      </c>
      <c r="P25" s="641">
        <v>447</v>
      </c>
      <c r="Q25" s="641">
        <v>427</v>
      </c>
      <c r="R25" s="641">
        <v>400</v>
      </c>
      <c r="S25" s="641">
        <v>382</v>
      </c>
      <c r="T25" s="641">
        <v>359</v>
      </c>
      <c r="U25" s="641">
        <v>335</v>
      </c>
      <c r="V25" s="641">
        <v>307</v>
      </c>
      <c r="W25" s="641">
        <v>56</v>
      </c>
      <c r="X25" s="641">
        <v>56</v>
      </c>
      <c r="Y25" s="641">
        <v>57</v>
      </c>
      <c r="Z25" s="641">
        <v>56</v>
      </c>
      <c r="AA25" s="641">
        <v>56</v>
      </c>
      <c r="AB25" s="641">
        <v>55</v>
      </c>
      <c r="AC25" s="641">
        <v>55</v>
      </c>
      <c r="AD25" s="641">
        <v>55</v>
      </c>
      <c r="AE25" s="641">
        <v>57</v>
      </c>
      <c r="AF25" s="641">
        <v>60</v>
      </c>
      <c r="AG25" s="641">
        <v>61</v>
      </c>
      <c r="AH25" s="641">
        <v>57</v>
      </c>
      <c r="AI25" s="641">
        <v>55</v>
      </c>
      <c r="AJ25" s="641">
        <v>52</v>
      </c>
      <c r="AK25" s="641">
        <v>52</v>
      </c>
      <c r="AL25" s="641">
        <v>49.78</v>
      </c>
      <c r="AM25" s="641">
        <v>51.06</v>
      </c>
      <c r="AN25" s="641">
        <v>51.06</v>
      </c>
      <c r="AO25" s="641">
        <v>52.9</v>
      </c>
      <c r="AP25" s="641">
        <v>53.25</v>
      </c>
      <c r="AQ25" s="641">
        <v>51.76</v>
      </c>
      <c r="AR25" s="641">
        <v>54.86</v>
      </c>
      <c r="AS25" s="641">
        <v>54.51</v>
      </c>
      <c r="AT25" s="641">
        <v>57.75</v>
      </c>
      <c r="AU25" s="641">
        <v>59.86</v>
      </c>
      <c r="AV25" s="641">
        <v>57.93</v>
      </c>
      <c r="AW25" s="641">
        <v>56.75</v>
      </c>
      <c r="AX25" s="641">
        <v>57.3</v>
      </c>
      <c r="AY25" s="641">
        <v>54.055999999999997</v>
      </c>
      <c r="AZ25" s="641">
        <v>52</v>
      </c>
      <c r="BA25" s="641">
        <v>50</v>
      </c>
      <c r="BB25" s="641">
        <v>50.5</v>
      </c>
      <c r="BC25" s="641">
        <v>50.5</v>
      </c>
      <c r="BD25" s="641">
        <v>51.34</v>
      </c>
      <c r="BE25" s="641">
        <v>53.11</v>
      </c>
      <c r="BF25" s="641">
        <v>51.29</v>
      </c>
    </row>
    <row r="26" spans="1:58" x14ac:dyDescent="0.35">
      <c r="A26" s="639" t="s">
        <v>431</v>
      </c>
      <c r="B26" s="640">
        <v>0</v>
      </c>
      <c r="C26" s="640">
        <v>0</v>
      </c>
      <c r="D26" s="640">
        <v>0</v>
      </c>
      <c r="E26" s="640">
        <v>0</v>
      </c>
      <c r="F26" s="640">
        <v>0</v>
      </c>
      <c r="G26" s="640">
        <v>0</v>
      </c>
      <c r="H26" s="640">
        <v>0</v>
      </c>
      <c r="I26" s="640">
        <v>0</v>
      </c>
      <c r="J26" s="640">
        <v>0</v>
      </c>
      <c r="K26" s="640">
        <v>0</v>
      </c>
      <c r="L26" s="640">
        <v>0</v>
      </c>
      <c r="M26" s="640">
        <v>0</v>
      </c>
      <c r="N26" s="640">
        <v>0</v>
      </c>
      <c r="O26" s="640">
        <v>0</v>
      </c>
      <c r="P26" s="640">
        <v>0</v>
      </c>
      <c r="Q26" s="640">
        <v>0</v>
      </c>
      <c r="R26" s="640">
        <v>0</v>
      </c>
      <c r="S26" s="640">
        <v>0</v>
      </c>
      <c r="T26" s="640">
        <v>0</v>
      </c>
      <c r="U26" s="640">
        <v>0</v>
      </c>
      <c r="V26" s="640">
        <v>0</v>
      </c>
      <c r="W26" s="640">
        <v>0</v>
      </c>
      <c r="X26" s="640">
        <v>0</v>
      </c>
      <c r="Y26" s="640">
        <v>0</v>
      </c>
      <c r="Z26" s="640">
        <v>0</v>
      </c>
      <c r="AA26" s="640">
        <v>0</v>
      </c>
      <c r="AB26" s="640">
        <v>0</v>
      </c>
      <c r="AC26" s="640">
        <v>0</v>
      </c>
      <c r="AD26" s="640">
        <v>0</v>
      </c>
      <c r="AE26" s="640">
        <v>0</v>
      </c>
      <c r="AF26" s="640">
        <v>0</v>
      </c>
      <c r="AG26" s="640">
        <v>0</v>
      </c>
      <c r="AH26" s="640">
        <v>0</v>
      </c>
      <c r="AI26" s="640">
        <v>0</v>
      </c>
      <c r="AJ26" s="640">
        <v>0</v>
      </c>
      <c r="AK26" s="640">
        <v>0</v>
      </c>
      <c r="AL26" s="640">
        <v>0</v>
      </c>
      <c r="AM26" s="640">
        <v>0</v>
      </c>
      <c r="AN26" s="640">
        <v>0</v>
      </c>
      <c r="AO26" s="640">
        <v>0</v>
      </c>
      <c r="AP26" s="640">
        <v>0</v>
      </c>
      <c r="AQ26" s="640">
        <v>0</v>
      </c>
      <c r="AR26" s="640">
        <v>0</v>
      </c>
      <c r="AS26" s="640">
        <v>0</v>
      </c>
      <c r="AT26" s="640">
        <v>0</v>
      </c>
      <c r="AU26" s="640">
        <v>0</v>
      </c>
      <c r="AV26" s="640">
        <v>0</v>
      </c>
      <c r="AW26" s="640">
        <v>0</v>
      </c>
      <c r="AX26" s="640">
        <v>0</v>
      </c>
      <c r="AY26" s="640">
        <v>0</v>
      </c>
      <c r="AZ26" s="640">
        <v>0</v>
      </c>
      <c r="BA26" s="640">
        <v>0</v>
      </c>
      <c r="BB26" s="640">
        <v>0</v>
      </c>
      <c r="BC26" s="640">
        <v>0</v>
      </c>
      <c r="BD26" s="640">
        <v>0</v>
      </c>
      <c r="BE26" s="640">
        <v>0</v>
      </c>
      <c r="BF26" s="640">
        <v>0</v>
      </c>
    </row>
    <row r="27" spans="1:58" x14ac:dyDescent="0.35">
      <c r="A27" s="639" t="s">
        <v>142</v>
      </c>
      <c r="B27" s="638">
        <v>391</v>
      </c>
      <c r="C27" s="638">
        <v>385</v>
      </c>
      <c r="D27" s="638">
        <v>381</v>
      </c>
      <c r="E27" s="638">
        <v>380</v>
      </c>
      <c r="F27" s="638">
        <v>334</v>
      </c>
      <c r="G27" s="638">
        <v>329</v>
      </c>
      <c r="H27" s="638">
        <v>315</v>
      </c>
      <c r="I27" s="638">
        <v>702</v>
      </c>
      <c r="J27" s="638">
        <v>860</v>
      </c>
      <c r="K27" s="638">
        <v>648</v>
      </c>
      <c r="L27" s="638">
        <v>634</v>
      </c>
      <c r="M27" s="638">
        <v>463</v>
      </c>
      <c r="N27" s="638">
        <v>478</v>
      </c>
      <c r="O27" s="638">
        <v>466</v>
      </c>
      <c r="P27" s="638">
        <v>447</v>
      </c>
      <c r="Q27" s="638">
        <v>427</v>
      </c>
      <c r="R27" s="638">
        <v>400</v>
      </c>
      <c r="S27" s="638">
        <v>382</v>
      </c>
      <c r="T27" s="638">
        <v>359</v>
      </c>
      <c r="U27" s="638">
        <v>335</v>
      </c>
      <c r="V27" s="638">
        <v>307</v>
      </c>
      <c r="W27" s="638">
        <v>56</v>
      </c>
      <c r="X27" s="638">
        <v>56</v>
      </c>
      <c r="Y27" s="638">
        <v>57</v>
      </c>
      <c r="Z27" s="638">
        <v>56</v>
      </c>
      <c r="AA27" s="638">
        <v>56</v>
      </c>
      <c r="AB27" s="638">
        <v>55</v>
      </c>
      <c r="AC27" s="638">
        <v>55</v>
      </c>
      <c r="AD27" s="638">
        <v>55</v>
      </c>
      <c r="AE27" s="638">
        <v>57</v>
      </c>
      <c r="AF27" s="638">
        <v>60</v>
      </c>
      <c r="AG27" s="638">
        <v>61</v>
      </c>
      <c r="AH27" s="638">
        <v>57</v>
      </c>
      <c r="AI27" s="638">
        <v>55</v>
      </c>
      <c r="AJ27" s="638">
        <v>52</v>
      </c>
      <c r="AK27" s="638">
        <v>52</v>
      </c>
      <c r="AL27" s="638">
        <v>49.78</v>
      </c>
      <c r="AM27" s="638">
        <v>51.06</v>
      </c>
      <c r="AN27" s="638">
        <v>51.06</v>
      </c>
      <c r="AO27" s="638">
        <v>52.9</v>
      </c>
      <c r="AP27" s="638">
        <v>53.25</v>
      </c>
      <c r="AQ27" s="638">
        <v>51.76</v>
      </c>
      <c r="AR27" s="638">
        <v>54.86</v>
      </c>
      <c r="AS27" s="638">
        <v>54.51</v>
      </c>
      <c r="AT27" s="638">
        <v>57.75</v>
      </c>
      <c r="AU27" s="638">
        <v>59.86</v>
      </c>
      <c r="AV27" s="638">
        <v>57.93</v>
      </c>
      <c r="AW27" s="638">
        <v>56.75</v>
      </c>
      <c r="AX27" s="638">
        <v>57.3</v>
      </c>
      <c r="AY27" s="638">
        <v>54.055999999999997</v>
      </c>
      <c r="AZ27" s="638">
        <v>52</v>
      </c>
      <c r="BA27" s="638">
        <v>50</v>
      </c>
      <c r="BB27" s="638">
        <v>50.5</v>
      </c>
      <c r="BC27" s="638">
        <v>50.5</v>
      </c>
      <c r="BD27" s="638">
        <v>51.34</v>
      </c>
      <c r="BE27" s="638">
        <v>53.11</v>
      </c>
      <c r="BF27" s="638">
        <v>51.29</v>
      </c>
    </row>
    <row r="28" spans="1:58" x14ac:dyDescent="0.35">
      <c r="A28" s="115"/>
      <c r="B28" s="637"/>
      <c r="C28" s="637"/>
      <c r="D28" s="637"/>
      <c r="E28" s="637"/>
      <c r="F28" s="115"/>
      <c r="G28" s="115"/>
      <c r="H28" s="115"/>
      <c r="I28" s="636"/>
      <c r="J28" s="636"/>
      <c r="K28" s="636"/>
      <c r="L28" s="636"/>
      <c r="M28" s="636"/>
      <c r="N28" s="636"/>
      <c r="O28" s="636"/>
      <c r="P28" s="636"/>
      <c r="Q28" s="636"/>
      <c r="R28" s="636"/>
      <c r="S28" s="636"/>
      <c r="T28" s="636"/>
      <c r="U28" s="636"/>
      <c r="V28" s="636"/>
      <c r="W28" s="636"/>
      <c r="X28" s="636"/>
      <c r="Y28" s="636"/>
      <c r="Z28" s="636"/>
      <c r="AA28" s="636"/>
      <c r="AB28" s="636"/>
      <c r="AC28" s="636"/>
      <c r="AD28" s="636"/>
      <c r="AE28" s="636"/>
      <c r="AF28" s="636"/>
      <c r="AG28" s="636"/>
      <c r="AH28" s="636"/>
      <c r="AI28" s="636"/>
      <c r="AJ28" s="636"/>
      <c r="AK28" s="636"/>
      <c r="AL28" s="636"/>
      <c r="AM28" s="636"/>
      <c r="AN28" s="636"/>
      <c r="AO28" s="636"/>
      <c r="AP28" s="636"/>
      <c r="AQ28" s="636"/>
      <c r="AR28" s="636"/>
      <c r="AS28" s="636"/>
      <c r="AT28" s="636"/>
      <c r="AU28" s="636"/>
      <c r="AV28" s="636"/>
      <c r="AW28" s="636"/>
      <c r="AX28" s="636"/>
      <c r="AY28" s="636"/>
      <c r="AZ28" s="636"/>
      <c r="BA28" s="636"/>
      <c r="BB28" s="636"/>
      <c r="BC28" s="636"/>
      <c r="BD28" s="636"/>
      <c r="BE28" s="636"/>
      <c r="BF28" s="636"/>
    </row>
    <row r="29" spans="1:58" ht="8.4" customHeight="1" x14ac:dyDescent="0.35">
      <c r="A29" s="110"/>
      <c r="B29" s="635"/>
      <c r="C29" s="635"/>
      <c r="D29" s="634"/>
      <c r="E29" s="634"/>
      <c r="F29" s="634"/>
      <c r="G29" s="634"/>
    </row>
    <row r="30" spans="1:58" x14ac:dyDescent="0.35">
      <c r="A30" s="1240" t="s">
        <v>608</v>
      </c>
      <c r="B30" s="1240"/>
      <c r="C30" s="1240"/>
      <c r="D30" s="1240"/>
      <c r="E30" s="1240"/>
      <c r="F30" s="1240"/>
      <c r="G30" s="1240"/>
      <c r="H30" s="1240"/>
      <c r="I30" s="1240"/>
      <c r="J30" s="1240"/>
      <c r="K30" s="1240"/>
      <c r="L30" s="1240"/>
      <c r="M30" s="1240"/>
      <c r="N30" s="1240"/>
      <c r="O30" s="1240"/>
      <c r="P30" s="1240"/>
      <c r="Q30" s="1240"/>
      <c r="R30" s="1240"/>
      <c r="S30" s="1240"/>
      <c r="T30" s="1240"/>
      <c r="U30" s="1240"/>
      <c r="V30" s="1240"/>
      <c r="W30" s="1240"/>
      <c r="X30" s="1240"/>
      <c r="Y30" s="1240"/>
      <c r="Z30" s="1240"/>
      <c r="AA30" s="1240"/>
      <c r="AB30" s="1240"/>
      <c r="AC30" s="1240"/>
      <c r="AD30" s="1240"/>
      <c r="AE30" s="1240"/>
      <c r="AF30" s="1240"/>
      <c r="AG30" s="1240"/>
      <c r="AH30" s="1240"/>
      <c r="AI30" s="1240"/>
      <c r="AJ30" s="1240"/>
      <c r="AK30" s="1240"/>
      <c r="AL30" s="1240"/>
      <c r="AM30" s="1240"/>
      <c r="AN30" s="1240"/>
      <c r="AO30" s="1240"/>
      <c r="AP30" s="1240"/>
      <c r="AQ30" s="1240"/>
      <c r="AR30" s="1240"/>
      <c r="AS30" s="1240"/>
      <c r="AT30" s="1240"/>
      <c r="AU30" s="1240"/>
      <c r="AV30" s="1240"/>
      <c r="AW30" s="1240"/>
      <c r="AX30" s="1240"/>
      <c r="AY30" s="1240"/>
      <c r="AZ30" s="1240"/>
      <c r="BA30" s="1240"/>
      <c r="BB30" s="1240"/>
      <c r="BC30" s="1240"/>
      <c r="BD30" s="1240"/>
      <c r="BE30" s="1240"/>
      <c r="BF30" s="1240"/>
    </row>
    <row r="31" spans="1:58" x14ac:dyDescent="0.35">
      <c r="A31" s="1240" t="s">
        <v>607</v>
      </c>
      <c r="B31" s="1240"/>
      <c r="C31" s="1240"/>
      <c r="D31" s="1240"/>
      <c r="E31" s="1240"/>
      <c r="F31" s="1240"/>
      <c r="G31" s="1240"/>
      <c r="H31" s="1240"/>
      <c r="I31" s="1240"/>
      <c r="J31" s="1240"/>
      <c r="K31" s="1240"/>
      <c r="L31" s="1240"/>
      <c r="M31" s="1240"/>
      <c r="N31" s="1240"/>
      <c r="O31" s="1240"/>
      <c r="P31" s="1240"/>
      <c r="Q31" s="1240"/>
      <c r="R31" s="1240"/>
      <c r="S31" s="1240"/>
      <c r="T31" s="1240"/>
      <c r="U31" s="1240"/>
      <c r="V31" s="1240"/>
      <c r="W31" s="1240"/>
      <c r="X31" s="1240"/>
      <c r="Y31" s="1240"/>
      <c r="Z31" s="1240"/>
      <c r="AA31" s="1240"/>
      <c r="AB31" s="1240"/>
      <c r="AC31" s="1240"/>
      <c r="AD31" s="1240"/>
      <c r="AE31" s="1240"/>
      <c r="AF31" s="1240"/>
      <c r="AG31" s="1240"/>
      <c r="AH31" s="1240"/>
      <c r="AI31" s="1240"/>
      <c r="AJ31" s="1240"/>
      <c r="AK31" s="1240"/>
      <c r="AL31" s="1240"/>
      <c r="AM31" s="1240"/>
      <c r="AN31" s="1240"/>
      <c r="AO31" s="1240"/>
      <c r="AP31" s="1240"/>
      <c r="AQ31" s="1240"/>
      <c r="AR31" s="1240"/>
      <c r="AS31" s="1240"/>
      <c r="AT31" s="1240"/>
      <c r="AU31" s="1240"/>
      <c r="AV31" s="1240"/>
      <c r="AW31" s="1240"/>
      <c r="AX31" s="1240"/>
      <c r="AY31" s="1240"/>
      <c r="AZ31" s="1240"/>
      <c r="BA31" s="1240"/>
      <c r="BB31" s="1240"/>
      <c r="BC31" s="1240"/>
      <c r="BD31" s="1240"/>
      <c r="BE31" s="1240"/>
      <c r="BF31" s="1240"/>
    </row>
    <row r="32" spans="1:58" x14ac:dyDescent="0.35">
      <c r="A32" s="110"/>
      <c r="B32" s="110"/>
      <c r="C32" s="110"/>
      <c r="D32" s="110"/>
      <c r="E32" s="110"/>
      <c r="F32" s="633"/>
      <c r="G32" s="633"/>
      <c r="H32" s="633"/>
      <c r="L32" s="632"/>
      <c r="M32" s="632"/>
      <c r="N32" s="632"/>
      <c r="O32" s="632"/>
      <c r="P32" s="632"/>
      <c r="Q32" s="632"/>
      <c r="R32" s="632"/>
      <c r="S32" s="632"/>
      <c r="U32" s="632"/>
    </row>
    <row r="33" spans="1:25" x14ac:dyDescent="0.35">
      <c r="A33" s="110"/>
      <c r="L33" s="632"/>
      <c r="M33" s="632"/>
      <c r="N33" s="632"/>
      <c r="O33" s="632"/>
      <c r="P33" s="632"/>
      <c r="Q33" s="632"/>
      <c r="R33" s="632"/>
      <c r="S33" s="632"/>
      <c r="T33" s="632"/>
      <c r="U33" s="632"/>
    </row>
    <row r="34" spans="1:25" x14ac:dyDescent="0.35">
      <c r="L34" s="632"/>
      <c r="M34" s="632"/>
      <c r="N34" s="632"/>
      <c r="O34" s="632"/>
      <c r="P34" s="632"/>
      <c r="Q34" s="632"/>
      <c r="R34" s="632"/>
      <c r="S34" s="632"/>
      <c r="T34" s="632"/>
      <c r="U34" s="632"/>
      <c r="V34" s="632"/>
      <c r="W34" s="632"/>
      <c r="X34" s="632"/>
      <c r="Y34" s="632"/>
    </row>
    <row r="35" spans="1:25" x14ac:dyDescent="0.35">
      <c r="L35" s="632"/>
      <c r="M35" s="632"/>
      <c r="N35" s="632"/>
      <c r="O35" s="632"/>
      <c r="P35" s="632"/>
      <c r="Q35" s="632"/>
      <c r="R35" s="632"/>
      <c r="S35" s="632"/>
      <c r="T35" s="632"/>
      <c r="U35" s="632"/>
      <c r="V35" s="632"/>
      <c r="W35" s="632"/>
      <c r="X35" s="632"/>
      <c r="Y35" s="632"/>
    </row>
  </sheetData>
  <mergeCells count="3">
    <mergeCell ref="A1:BF1"/>
    <mergeCell ref="A30:BF30"/>
    <mergeCell ref="A31:BF31"/>
  </mergeCells>
  <pageMargins left="0.63" right="0.23622047244094491" top="0.6" bottom="0.74803149606299213" header="0.31496062992125984" footer="0.31496062992125984"/>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F25"/>
  <sheetViews>
    <sheetView zoomScale="110" zoomScaleNormal="110" workbookViewId="0">
      <pane xSplit="1" ySplit="3" topLeftCell="BD4" activePane="bottomRight" state="frozen"/>
      <selection pane="topRight" activeCell="B1" sqref="B1"/>
      <selection pane="bottomLeft" activeCell="A4" sqref="A4"/>
      <selection pane="bottomRight" activeCell="BD16" sqref="BD16"/>
    </sheetView>
  </sheetViews>
  <sheetFormatPr defaultColWidth="9.08984375" defaultRowHeight="13" x14ac:dyDescent="0.3"/>
  <cols>
    <col min="1" max="1" width="44.26953125" style="658" customWidth="1"/>
    <col min="2" max="2" width="7" style="660" hidden="1" customWidth="1"/>
    <col min="3" max="3" width="7.26953125" style="660" hidden="1" customWidth="1"/>
    <col min="4" max="4" width="6.6328125" style="660" hidden="1" customWidth="1"/>
    <col min="5" max="5" width="6.453125" style="660" hidden="1" customWidth="1"/>
    <col min="6" max="7" width="7" style="658" hidden="1" customWidth="1"/>
    <col min="8" max="8" width="7.6328125" style="658" hidden="1" customWidth="1"/>
    <col min="9" max="9" width="7.26953125" style="658" hidden="1" customWidth="1"/>
    <col min="10" max="10" width="7" style="658" hidden="1" customWidth="1"/>
    <col min="11" max="12" width="7.6328125" style="658" hidden="1" customWidth="1"/>
    <col min="13" max="13" width="7.7265625" style="658" hidden="1" customWidth="1"/>
    <col min="14" max="14" width="8.08984375" style="658" hidden="1" customWidth="1"/>
    <col min="15" max="15" width="7.453125" style="658" hidden="1" customWidth="1"/>
    <col min="16" max="16" width="8.08984375" style="658" hidden="1" customWidth="1"/>
    <col min="17" max="20" width="7.7265625" style="658" hidden="1" customWidth="1"/>
    <col min="21" max="21" width="8.08984375" style="658" hidden="1" customWidth="1"/>
    <col min="22" max="22" width="8.26953125" style="658" hidden="1" customWidth="1"/>
    <col min="23" max="23" width="7.7265625" style="658" hidden="1" customWidth="1"/>
    <col min="24" max="25" width="8.26953125" style="658" hidden="1" customWidth="1"/>
    <col min="26" max="27" width="8.08984375" style="658" hidden="1" customWidth="1"/>
    <col min="28" max="28" width="7.7265625" style="658" hidden="1" customWidth="1"/>
    <col min="29" max="29" width="8.08984375" style="658" hidden="1" customWidth="1"/>
    <col min="30" max="30" width="8.36328125" style="658" hidden="1" customWidth="1"/>
    <col min="31" max="31" width="8.08984375" style="658" hidden="1" customWidth="1"/>
    <col min="32" max="32" width="7.453125" style="658" hidden="1" customWidth="1"/>
    <col min="33" max="33" width="7.6328125" style="658" hidden="1" customWidth="1"/>
    <col min="34" max="34" width="8.08984375" style="658" hidden="1" customWidth="1"/>
    <col min="35" max="36" width="8.90625" style="658" hidden="1" customWidth="1"/>
    <col min="37" max="37" width="9.08984375" style="658" hidden="1" customWidth="1"/>
    <col min="38" max="38" width="8.6328125" style="658" hidden="1" customWidth="1"/>
    <col min="39" max="39" width="7.7265625" style="658" hidden="1" customWidth="1"/>
    <col min="40" max="40" width="8.6328125" style="658" hidden="1" customWidth="1"/>
    <col min="41" max="41" width="8.26953125" style="658" hidden="1" customWidth="1"/>
    <col min="42" max="42" width="8.90625" style="658" hidden="1" customWidth="1"/>
    <col min="43" max="43" width="8.08984375" style="658" hidden="1" customWidth="1"/>
    <col min="44" max="45" width="8.90625" style="658" hidden="1" customWidth="1"/>
    <col min="46" max="46" width="8.7265625" style="658" hidden="1" customWidth="1"/>
    <col min="47" max="47" width="8.08984375" style="658" hidden="1" customWidth="1"/>
    <col min="48" max="48" width="9.08984375" style="658" hidden="1" customWidth="1"/>
    <col min="49" max="50" width="8.26953125" style="658" hidden="1" customWidth="1"/>
    <col min="51" max="51" width="8.6328125" style="658" hidden="1" customWidth="1"/>
    <col min="52" max="52" width="9.90625" style="659" hidden="1" customWidth="1"/>
    <col min="53" max="53" width="10.6328125" style="659" hidden="1" customWidth="1"/>
    <col min="54" max="54" width="10.90625" style="659" hidden="1" customWidth="1"/>
    <col min="55" max="55" width="10.08984375" style="659" hidden="1" customWidth="1"/>
    <col min="56" max="58" width="10.90625" style="659" customWidth="1"/>
    <col min="59" max="16384" width="9.08984375" style="658"/>
  </cols>
  <sheetData>
    <row r="1" spans="1:58" ht="35" customHeight="1" x14ac:dyDescent="0.3">
      <c r="A1" s="1341" t="s">
        <v>682</v>
      </c>
      <c r="B1" s="1341"/>
      <c r="C1" s="1341"/>
      <c r="D1" s="1341"/>
      <c r="E1" s="1341"/>
      <c r="F1" s="1341"/>
      <c r="G1" s="1341"/>
      <c r="H1" s="1341"/>
      <c r="I1" s="1341"/>
      <c r="J1" s="1341"/>
      <c r="K1" s="1341"/>
      <c r="L1" s="1341"/>
      <c r="M1" s="1341"/>
      <c r="N1" s="1341"/>
      <c r="O1" s="1341"/>
      <c r="P1" s="1341"/>
      <c r="Q1" s="1341"/>
      <c r="R1" s="1341"/>
      <c r="S1" s="1341"/>
      <c r="T1" s="1341"/>
      <c r="U1" s="1341"/>
      <c r="V1" s="1341"/>
      <c r="W1" s="1341"/>
      <c r="X1" s="1341"/>
      <c r="Y1" s="1341"/>
      <c r="Z1" s="1341"/>
      <c r="AA1" s="1341"/>
      <c r="AB1" s="1341"/>
      <c r="AC1" s="1341"/>
      <c r="AD1" s="1341"/>
      <c r="AE1" s="1341"/>
      <c r="AF1" s="1341"/>
      <c r="AG1" s="1341"/>
      <c r="AH1" s="1341"/>
      <c r="AI1" s="1341"/>
      <c r="AJ1" s="1341"/>
      <c r="AK1" s="1341"/>
      <c r="AL1" s="1341"/>
      <c r="AM1" s="1341"/>
      <c r="AN1" s="1341"/>
      <c r="AO1" s="1341"/>
      <c r="AP1" s="1341"/>
      <c r="AQ1" s="1341"/>
      <c r="AR1" s="1341"/>
      <c r="AS1" s="1341"/>
      <c r="AT1" s="1341"/>
      <c r="AU1" s="1341"/>
      <c r="AV1" s="1341"/>
      <c r="AW1" s="1341"/>
      <c r="AX1" s="1341"/>
      <c r="AY1" s="1341"/>
      <c r="AZ1" s="1341"/>
      <c r="BA1" s="1341"/>
      <c r="BB1" s="1341"/>
      <c r="BC1" s="1341"/>
      <c r="BD1" s="1341"/>
      <c r="BE1" s="1341"/>
      <c r="BF1" s="1341"/>
    </row>
    <row r="2" spans="1:58" ht="18" customHeight="1" x14ac:dyDescent="0.3">
      <c r="A2" s="714" t="s">
        <v>437</v>
      </c>
      <c r="F2" s="714"/>
      <c r="G2" s="714"/>
      <c r="H2" s="714"/>
      <c r="I2" s="714"/>
      <c r="J2" s="714"/>
      <c r="K2" s="714"/>
      <c r="M2" s="714"/>
      <c r="N2" s="713"/>
      <c r="O2" s="713"/>
      <c r="P2" s="713"/>
      <c r="Q2" s="713"/>
      <c r="R2" s="713"/>
      <c r="S2" s="713"/>
      <c r="T2" s="713"/>
      <c r="U2" s="713"/>
      <c r="V2" s="713"/>
      <c r="W2" s="713"/>
      <c r="X2" s="713"/>
      <c r="Y2" s="713"/>
      <c r="Z2" s="713"/>
      <c r="AA2" s="713"/>
      <c r="AB2" s="713"/>
      <c r="AC2" s="713"/>
      <c r="AD2" s="713"/>
      <c r="AE2" s="713"/>
      <c r="AF2" s="713"/>
      <c r="AG2" s="713"/>
      <c r="AH2" s="713"/>
      <c r="AI2" s="713"/>
      <c r="AJ2" s="713"/>
      <c r="AK2" s="713"/>
      <c r="AL2" s="713"/>
      <c r="AM2" s="713"/>
      <c r="AN2" s="713"/>
      <c r="AP2" s="713"/>
      <c r="AQ2" s="713"/>
      <c r="AR2" s="713"/>
      <c r="AS2" s="713"/>
      <c r="AT2" s="713"/>
      <c r="AW2" s="713"/>
      <c r="AX2" s="713"/>
      <c r="AY2" s="713"/>
      <c r="AZ2" s="712"/>
      <c r="BA2" s="712"/>
      <c r="BB2" s="712"/>
      <c r="BC2" s="712"/>
      <c r="BD2" s="712"/>
      <c r="BE2" s="154"/>
      <c r="BF2" s="154" t="s">
        <v>144</v>
      </c>
    </row>
    <row r="3" spans="1:58" ht="31.65" customHeight="1" x14ac:dyDescent="0.3">
      <c r="A3" s="711" t="s">
        <v>423</v>
      </c>
      <c r="B3" s="710" t="s">
        <v>673</v>
      </c>
      <c r="C3" s="710" t="s">
        <v>672</v>
      </c>
      <c r="D3" s="710" t="s">
        <v>671</v>
      </c>
      <c r="E3" s="710" t="s">
        <v>670</v>
      </c>
      <c r="F3" s="710" t="s">
        <v>669</v>
      </c>
      <c r="G3" s="709" t="s">
        <v>668</v>
      </c>
      <c r="H3" s="708" t="s">
        <v>667</v>
      </c>
      <c r="I3" s="708" t="s">
        <v>666</v>
      </c>
      <c r="J3" s="708" t="s">
        <v>665</v>
      </c>
      <c r="K3" s="708" t="s">
        <v>664</v>
      </c>
      <c r="L3" s="708" t="s">
        <v>663</v>
      </c>
      <c r="M3" s="708" t="s">
        <v>662</v>
      </c>
      <c r="N3" s="708" t="s">
        <v>661</v>
      </c>
      <c r="O3" s="708" t="s">
        <v>681</v>
      </c>
      <c r="P3" s="708" t="s">
        <v>659</v>
      </c>
      <c r="Q3" s="708" t="s">
        <v>658</v>
      </c>
      <c r="R3" s="708" t="s">
        <v>657</v>
      </c>
      <c r="S3" s="708" t="s">
        <v>656</v>
      </c>
      <c r="T3" s="708" t="s">
        <v>655</v>
      </c>
      <c r="U3" s="708" t="s">
        <v>654</v>
      </c>
      <c r="V3" s="708" t="s">
        <v>653</v>
      </c>
      <c r="W3" s="708" t="s">
        <v>652</v>
      </c>
      <c r="X3" s="708" t="s">
        <v>651</v>
      </c>
      <c r="Y3" s="708" t="s">
        <v>650</v>
      </c>
      <c r="Z3" s="708" t="s">
        <v>649</v>
      </c>
      <c r="AA3" s="708" t="s">
        <v>648</v>
      </c>
      <c r="AB3" s="708" t="s">
        <v>647</v>
      </c>
      <c r="AC3" s="708" t="s">
        <v>646</v>
      </c>
      <c r="AD3" s="708" t="s">
        <v>645</v>
      </c>
      <c r="AE3" s="708" t="s">
        <v>644</v>
      </c>
      <c r="AF3" s="708" t="s">
        <v>643</v>
      </c>
      <c r="AG3" s="708" t="s">
        <v>642</v>
      </c>
      <c r="AH3" s="708" t="s">
        <v>641</v>
      </c>
      <c r="AI3" s="708" t="s">
        <v>640</v>
      </c>
      <c r="AJ3" s="708" t="s">
        <v>639</v>
      </c>
      <c r="AK3" s="708" t="s">
        <v>638</v>
      </c>
      <c r="AL3" s="708" t="s">
        <v>637</v>
      </c>
      <c r="AM3" s="708" t="s">
        <v>636</v>
      </c>
      <c r="AN3" s="708" t="s">
        <v>635</v>
      </c>
      <c r="AO3" s="708" t="s">
        <v>634</v>
      </c>
      <c r="AP3" s="708" t="s">
        <v>633</v>
      </c>
      <c r="AQ3" s="708" t="s">
        <v>632</v>
      </c>
      <c r="AR3" s="708" t="s">
        <v>631</v>
      </c>
      <c r="AS3" s="708" t="s">
        <v>630</v>
      </c>
      <c r="AT3" s="708" t="s">
        <v>629</v>
      </c>
      <c r="AU3" s="708" t="s">
        <v>628</v>
      </c>
      <c r="AV3" s="708" t="s">
        <v>627</v>
      </c>
      <c r="AW3" s="708" t="s">
        <v>626</v>
      </c>
      <c r="AX3" s="708" t="s">
        <v>625</v>
      </c>
      <c r="AY3" s="708" t="s">
        <v>624</v>
      </c>
      <c r="AZ3" s="707" t="s">
        <v>680</v>
      </c>
      <c r="BA3" s="707" t="s">
        <v>679</v>
      </c>
      <c r="BB3" s="707" t="s">
        <v>678</v>
      </c>
      <c r="BC3" s="707" t="s">
        <v>677</v>
      </c>
      <c r="BD3" s="707" t="s">
        <v>805</v>
      </c>
      <c r="BE3" s="707" t="s">
        <v>994</v>
      </c>
      <c r="BF3" s="707" t="s">
        <v>993</v>
      </c>
    </row>
    <row r="4" spans="1:58" ht="20.25" customHeight="1" x14ac:dyDescent="0.3">
      <c r="A4" s="701" t="s">
        <v>676</v>
      </c>
      <c r="B4" s="678">
        <v>4660.2</v>
      </c>
      <c r="C4" s="678">
        <v>4482.2</v>
      </c>
      <c r="D4" s="678">
        <v>4459.8</v>
      </c>
      <c r="E4" s="678">
        <v>4623.8999999999996</v>
      </c>
      <c r="F4" s="678">
        <v>4477</v>
      </c>
      <c r="G4" s="677">
        <v>4248</v>
      </c>
      <c r="H4" s="706">
        <v>4154</v>
      </c>
      <c r="I4" s="675">
        <v>3885</v>
      </c>
      <c r="J4" s="675">
        <v>3762</v>
      </c>
      <c r="K4" s="675">
        <v>3519</v>
      </c>
      <c r="L4" s="675">
        <v>3357</v>
      </c>
      <c r="M4" s="675">
        <v>3099</v>
      </c>
      <c r="N4" s="675">
        <v>2992</v>
      </c>
      <c r="O4" s="675">
        <v>6253</v>
      </c>
      <c r="P4" s="675">
        <v>5955</v>
      </c>
      <c r="Q4" s="675">
        <v>5486</v>
      </c>
      <c r="R4" s="675">
        <v>5401</v>
      </c>
      <c r="S4" s="675">
        <v>5089</v>
      </c>
      <c r="T4" s="675">
        <v>5059</v>
      </c>
      <c r="U4" s="675">
        <v>4350</v>
      </c>
      <c r="V4" s="675">
        <v>7454</v>
      </c>
      <c r="W4" s="675">
        <v>7451</v>
      </c>
      <c r="X4" s="675">
        <v>13868</v>
      </c>
      <c r="Y4" s="675">
        <v>13794</v>
      </c>
      <c r="Z4" s="675">
        <v>13788</v>
      </c>
      <c r="AA4" s="675">
        <v>14026</v>
      </c>
      <c r="AB4" s="675">
        <v>14109</v>
      </c>
      <c r="AC4" s="675">
        <v>17399</v>
      </c>
      <c r="AD4" s="675">
        <v>17491</v>
      </c>
      <c r="AE4" s="675">
        <v>17694</v>
      </c>
      <c r="AF4" s="675">
        <v>17630</v>
      </c>
      <c r="AG4" s="675">
        <v>14165</v>
      </c>
      <c r="AH4" s="675">
        <v>14235</v>
      </c>
      <c r="AI4" s="675">
        <v>14213</v>
      </c>
      <c r="AJ4" s="675">
        <v>7828</v>
      </c>
      <c r="AK4" s="675">
        <v>7872</v>
      </c>
      <c r="AL4" s="675">
        <v>7886.8899999999994</v>
      </c>
      <c r="AM4" s="675">
        <v>7875.66</v>
      </c>
      <c r="AN4" s="675">
        <v>7889.85</v>
      </c>
      <c r="AO4" s="675">
        <v>7857.8700000000008</v>
      </c>
      <c r="AP4" s="675">
        <v>7975.42</v>
      </c>
      <c r="AQ4" s="675">
        <v>7794.27</v>
      </c>
      <c r="AR4" s="675">
        <v>7870.53</v>
      </c>
      <c r="AS4" s="675">
        <v>8021.8600000000006</v>
      </c>
      <c r="AT4" s="675">
        <v>8113.45</v>
      </c>
      <c r="AU4" s="675">
        <v>7656.5499999999993</v>
      </c>
      <c r="AV4" s="675">
        <v>7703.43</v>
      </c>
      <c r="AW4" s="675">
        <v>7812.68</v>
      </c>
      <c r="AX4" s="675">
        <v>7847.65</v>
      </c>
      <c r="AY4" s="675">
        <v>7924.4500000000007</v>
      </c>
      <c r="AZ4" s="674">
        <v>7909.85</v>
      </c>
      <c r="BA4" s="674">
        <v>7902.85</v>
      </c>
      <c r="BB4" s="674">
        <v>7887.7999999999993</v>
      </c>
      <c r="BC4" s="674">
        <v>5381</v>
      </c>
      <c r="BD4" s="674">
        <v>5372.42</v>
      </c>
      <c r="BE4" s="674">
        <v>4854.75</v>
      </c>
      <c r="BF4" s="674">
        <v>4845.87</v>
      </c>
    </row>
    <row r="5" spans="1:58" ht="12.75" customHeight="1" x14ac:dyDescent="0.3">
      <c r="A5" s="701"/>
      <c r="B5" s="705"/>
      <c r="C5" s="705"/>
      <c r="D5" s="705"/>
      <c r="E5" s="705"/>
      <c r="F5" s="673"/>
      <c r="G5" s="683"/>
      <c r="H5" s="682"/>
      <c r="I5" s="681"/>
      <c r="J5" s="681"/>
      <c r="K5" s="681"/>
      <c r="L5" s="681"/>
      <c r="M5" s="681"/>
      <c r="N5" s="681"/>
      <c r="O5" s="681"/>
      <c r="P5" s="681"/>
      <c r="Q5" s="681"/>
      <c r="R5" s="681"/>
      <c r="S5" s="681"/>
      <c r="T5" s="681"/>
      <c r="U5" s="681"/>
      <c r="V5" s="681"/>
      <c r="W5" s="681"/>
      <c r="X5" s="681"/>
      <c r="Y5" s="681"/>
      <c r="Z5" s="681"/>
      <c r="AA5" s="681"/>
      <c r="AB5" s="681"/>
      <c r="AC5" s="681"/>
      <c r="AD5" s="681"/>
      <c r="AE5" s="681"/>
      <c r="AF5" s="681"/>
      <c r="AG5" s="681"/>
      <c r="AH5" s="681"/>
      <c r="AI5" s="681"/>
      <c r="AJ5" s="681"/>
      <c r="AK5" s="681"/>
      <c r="AL5" s="681"/>
      <c r="AM5" s="681"/>
      <c r="AN5" s="681"/>
      <c r="AO5" s="681"/>
      <c r="AP5" s="681"/>
      <c r="AQ5" s="681"/>
      <c r="AR5" s="681"/>
      <c r="AS5" s="681"/>
      <c r="AT5" s="681"/>
      <c r="AU5" s="681"/>
      <c r="AV5" s="681"/>
      <c r="AW5" s="681"/>
      <c r="AX5" s="681"/>
      <c r="AY5" s="681"/>
      <c r="AZ5" s="680"/>
      <c r="BA5" s="680"/>
      <c r="BB5" s="680"/>
      <c r="BC5" s="680"/>
      <c r="BD5" s="680"/>
      <c r="BE5" s="680"/>
      <c r="BF5" s="680"/>
    </row>
    <row r="6" spans="1:58" ht="15" customHeight="1" x14ac:dyDescent="0.3">
      <c r="A6" s="699" t="s">
        <v>429</v>
      </c>
      <c r="B6" s="689">
        <v>123.3</v>
      </c>
      <c r="C6" s="689">
        <v>596.4</v>
      </c>
      <c r="D6" s="689">
        <v>92.2</v>
      </c>
      <c r="E6" s="689">
        <v>88.3</v>
      </c>
      <c r="F6" s="689">
        <v>68.7</v>
      </c>
      <c r="G6" s="698">
        <v>65</v>
      </c>
      <c r="H6" s="682">
        <v>60</v>
      </c>
      <c r="I6" s="681">
        <v>56</v>
      </c>
      <c r="J6" s="681">
        <v>52</v>
      </c>
      <c r="K6" s="681">
        <v>47</v>
      </c>
      <c r="L6" s="681">
        <v>43</v>
      </c>
      <c r="M6" s="681">
        <v>38</v>
      </c>
      <c r="N6" s="681">
        <v>33</v>
      </c>
      <c r="O6" s="696">
        <v>3528</v>
      </c>
      <c r="P6" s="696">
        <v>3523</v>
      </c>
      <c r="Q6" s="696">
        <v>3518</v>
      </c>
      <c r="R6" s="696">
        <v>3513</v>
      </c>
      <c r="S6" s="696">
        <v>3508</v>
      </c>
      <c r="T6" s="696">
        <v>3502</v>
      </c>
      <c r="U6" s="696">
        <v>3500</v>
      </c>
      <c r="V6" s="696">
        <v>6632</v>
      </c>
      <c r="W6" s="696">
        <v>6700</v>
      </c>
      <c r="X6" s="696">
        <v>13145</v>
      </c>
      <c r="Y6" s="696">
        <v>13124</v>
      </c>
      <c r="Z6" s="696">
        <v>13146</v>
      </c>
      <c r="AA6" s="696">
        <v>13447</v>
      </c>
      <c r="AB6" s="696">
        <v>13552</v>
      </c>
      <c r="AC6" s="696">
        <v>13544</v>
      </c>
      <c r="AD6" s="696">
        <v>13655</v>
      </c>
      <c r="AE6" s="696">
        <v>13767</v>
      </c>
      <c r="AF6" s="696">
        <v>13769</v>
      </c>
      <c r="AG6" s="696">
        <v>10335</v>
      </c>
      <c r="AH6" s="696">
        <v>10360</v>
      </c>
      <c r="AI6" s="696">
        <v>10384</v>
      </c>
      <c r="AJ6" s="696">
        <v>4009</v>
      </c>
      <c r="AK6" s="696">
        <v>4034</v>
      </c>
      <c r="AL6" s="696">
        <v>4058.67</v>
      </c>
      <c r="AM6" s="696">
        <v>4083</v>
      </c>
      <c r="AN6" s="696">
        <v>4107</v>
      </c>
      <c r="AO6" s="696">
        <v>4131.5600000000004</v>
      </c>
      <c r="AP6" s="696">
        <v>4157.42</v>
      </c>
      <c r="AQ6" s="696">
        <v>4000</v>
      </c>
      <c r="AR6" s="696">
        <v>4000</v>
      </c>
      <c r="AS6" s="696">
        <v>4000</v>
      </c>
      <c r="AT6" s="696">
        <v>4000</v>
      </c>
      <c r="AU6" s="696">
        <v>3500</v>
      </c>
      <c r="AV6" s="696">
        <v>3500</v>
      </c>
      <c r="AW6" s="696">
        <v>3500</v>
      </c>
      <c r="AX6" s="696">
        <v>3500</v>
      </c>
      <c r="AY6" s="696">
        <v>3500</v>
      </c>
      <c r="AZ6" s="697">
        <v>3500</v>
      </c>
      <c r="BA6" s="697">
        <v>3500</v>
      </c>
      <c r="BB6" s="697">
        <v>3500</v>
      </c>
      <c r="BC6" s="697">
        <v>1000</v>
      </c>
      <c r="BD6" s="697">
        <v>1006.25</v>
      </c>
      <c r="BE6" s="697">
        <v>1012.5</v>
      </c>
      <c r="BF6" s="697">
        <v>1018.75</v>
      </c>
    </row>
    <row r="7" spans="1:58" ht="15" customHeight="1" x14ac:dyDescent="0.3">
      <c r="A7" s="695" t="s">
        <v>428</v>
      </c>
      <c r="B7" s="694">
        <v>383.9</v>
      </c>
      <c r="C7" s="694">
        <v>315.8</v>
      </c>
      <c r="D7" s="694">
        <v>960.2</v>
      </c>
      <c r="E7" s="694">
        <v>1305.9000000000001</v>
      </c>
      <c r="F7" s="694">
        <v>1245.5</v>
      </c>
      <c r="G7" s="693">
        <v>1246</v>
      </c>
      <c r="H7" s="696">
        <v>1223</v>
      </c>
      <c r="I7" s="694">
        <v>1119</v>
      </c>
      <c r="J7" s="694">
        <v>944</v>
      </c>
      <c r="K7" s="694">
        <v>895</v>
      </c>
      <c r="L7" s="694">
        <v>839</v>
      </c>
      <c r="M7" s="694">
        <v>783</v>
      </c>
      <c r="N7" s="694">
        <v>726</v>
      </c>
      <c r="O7" s="694">
        <v>677</v>
      </c>
      <c r="P7" s="694">
        <v>620</v>
      </c>
      <c r="Q7" s="694">
        <v>317</v>
      </c>
      <c r="R7" s="694">
        <v>260</v>
      </c>
      <c r="S7" s="694">
        <v>103</v>
      </c>
      <c r="T7" s="694">
        <v>95</v>
      </c>
      <c r="U7" s="694">
        <v>88</v>
      </c>
      <c r="V7" s="694">
        <v>81</v>
      </c>
      <c r="W7" s="694">
        <v>73</v>
      </c>
      <c r="X7" s="694">
        <v>66</v>
      </c>
      <c r="Y7" s="694">
        <v>58</v>
      </c>
      <c r="Z7" s="694">
        <v>50</v>
      </c>
      <c r="AA7" s="694">
        <v>42</v>
      </c>
      <c r="AB7" s="694">
        <v>36</v>
      </c>
      <c r="AC7" s="694">
        <v>33</v>
      </c>
      <c r="AD7" s="694">
        <v>30</v>
      </c>
      <c r="AE7" s="694">
        <v>27</v>
      </c>
      <c r="AF7" s="694">
        <v>24</v>
      </c>
      <c r="AG7" s="694">
        <v>24</v>
      </c>
      <c r="AH7" s="694">
        <v>24</v>
      </c>
      <c r="AI7" s="694">
        <v>24</v>
      </c>
      <c r="AJ7" s="694">
        <v>24</v>
      </c>
      <c r="AK7" s="694">
        <v>24</v>
      </c>
      <c r="AL7" s="694">
        <v>23.85</v>
      </c>
      <c r="AM7" s="694">
        <v>23.85</v>
      </c>
      <c r="AN7" s="694">
        <v>23.85</v>
      </c>
      <c r="AO7" s="694">
        <v>23.85</v>
      </c>
      <c r="AP7" s="694">
        <v>23.85</v>
      </c>
      <c r="AQ7" s="694">
        <v>23.85</v>
      </c>
      <c r="AR7" s="694">
        <v>23.85</v>
      </c>
      <c r="AS7" s="694">
        <v>23.85</v>
      </c>
      <c r="AT7" s="694">
        <v>23.85</v>
      </c>
      <c r="AU7" s="694">
        <v>23.85</v>
      </c>
      <c r="AV7" s="694">
        <v>23.85</v>
      </c>
      <c r="AW7" s="694">
        <v>23.85</v>
      </c>
      <c r="AX7" s="694">
        <v>23.85</v>
      </c>
      <c r="AY7" s="694">
        <v>23.85</v>
      </c>
      <c r="AZ7" s="704">
        <v>23.85</v>
      </c>
      <c r="BA7" s="704">
        <v>23.85</v>
      </c>
      <c r="BB7" s="704">
        <v>23.85</v>
      </c>
      <c r="BC7" s="704">
        <v>0</v>
      </c>
      <c r="BD7" s="704">
        <v>0</v>
      </c>
      <c r="BE7" s="704">
        <v>0</v>
      </c>
      <c r="BF7" s="704">
        <v>0</v>
      </c>
    </row>
    <row r="8" spans="1:58" ht="15.65" customHeight="1" x14ac:dyDescent="0.3">
      <c r="A8" s="690" t="s">
        <v>430</v>
      </c>
      <c r="B8" s="688">
        <v>4153</v>
      </c>
      <c r="C8" s="688">
        <v>3570</v>
      </c>
      <c r="D8" s="688">
        <v>3407.4</v>
      </c>
      <c r="E8" s="688">
        <v>3229.7</v>
      </c>
      <c r="F8" s="688">
        <v>3162.8</v>
      </c>
      <c r="G8" s="687">
        <v>2937</v>
      </c>
      <c r="H8" s="691">
        <v>2871</v>
      </c>
      <c r="I8" s="688">
        <v>2710</v>
      </c>
      <c r="J8" s="688">
        <v>2766</v>
      </c>
      <c r="K8" s="688">
        <v>2577</v>
      </c>
      <c r="L8" s="688">
        <v>2475</v>
      </c>
      <c r="M8" s="688">
        <v>2278</v>
      </c>
      <c r="N8" s="688">
        <v>2233</v>
      </c>
      <c r="O8" s="688">
        <v>2048</v>
      </c>
      <c r="P8" s="688">
        <v>1812</v>
      </c>
      <c r="Q8" s="688">
        <v>1651</v>
      </c>
      <c r="R8" s="688">
        <v>1628</v>
      </c>
      <c r="S8" s="688">
        <v>1478</v>
      </c>
      <c r="T8" s="688">
        <v>1462</v>
      </c>
      <c r="U8" s="688">
        <v>762</v>
      </c>
      <c r="V8" s="688">
        <v>741</v>
      </c>
      <c r="W8" s="688">
        <v>678</v>
      </c>
      <c r="X8" s="688">
        <v>657</v>
      </c>
      <c r="Y8" s="688">
        <v>612</v>
      </c>
      <c r="Z8" s="688">
        <v>592</v>
      </c>
      <c r="AA8" s="688">
        <v>537</v>
      </c>
      <c r="AB8" s="688">
        <v>521</v>
      </c>
      <c r="AC8" s="688">
        <v>3822</v>
      </c>
      <c r="AD8" s="688">
        <v>3806</v>
      </c>
      <c r="AE8" s="688">
        <v>3900</v>
      </c>
      <c r="AF8" s="688">
        <v>3837</v>
      </c>
      <c r="AG8" s="688">
        <v>3806</v>
      </c>
      <c r="AH8" s="688">
        <v>3851</v>
      </c>
      <c r="AI8" s="688">
        <v>3805</v>
      </c>
      <c r="AJ8" s="688">
        <v>3795</v>
      </c>
      <c r="AK8" s="688">
        <v>3814</v>
      </c>
      <c r="AL8" s="688">
        <v>3804.37</v>
      </c>
      <c r="AM8" s="688">
        <v>3768.81</v>
      </c>
      <c r="AN8" s="688">
        <v>3759</v>
      </c>
      <c r="AO8" s="688">
        <v>3702.46</v>
      </c>
      <c r="AP8" s="688">
        <v>3794.15</v>
      </c>
      <c r="AQ8" s="688">
        <v>3770.42</v>
      </c>
      <c r="AR8" s="688">
        <v>3846.68</v>
      </c>
      <c r="AS8" s="688">
        <v>3998.01</v>
      </c>
      <c r="AT8" s="688">
        <v>4089.6</v>
      </c>
      <c r="AU8" s="688">
        <v>4132.7</v>
      </c>
      <c r="AV8" s="688">
        <v>4179.58</v>
      </c>
      <c r="AW8" s="688">
        <v>4288.83</v>
      </c>
      <c r="AX8" s="688">
        <v>4323.8</v>
      </c>
      <c r="AY8" s="688">
        <v>4400.6000000000004</v>
      </c>
      <c r="AZ8" s="703">
        <v>4386</v>
      </c>
      <c r="BA8" s="703">
        <v>4379</v>
      </c>
      <c r="BB8" s="703">
        <v>4363.95</v>
      </c>
      <c r="BC8" s="703">
        <v>4381</v>
      </c>
      <c r="BD8" s="703">
        <v>4366.17</v>
      </c>
      <c r="BE8" s="703">
        <v>3842.25</v>
      </c>
      <c r="BF8" s="703">
        <v>3827.12</v>
      </c>
    </row>
    <row r="9" spans="1:58" x14ac:dyDescent="0.3">
      <c r="A9" s="673"/>
      <c r="B9" s="702"/>
      <c r="C9" s="702"/>
      <c r="D9" s="702"/>
      <c r="E9" s="702"/>
      <c r="F9" s="673"/>
      <c r="G9" s="683"/>
      <c r="H9" s="682"/>
      <c r="I9" s="681"/>
      <c r="J9" s="681"/>
      <c r="K9" s="681"/>
      <c r="L9" s="681"/>
      <c r="M9" s="681"/>
      <c r="N9" s="681"/>
      <c r="O9" s="681"/>
      <c r="P9" s="681"/>
      <c r="Q9" s="681"/>
      <c r="R9" s="681"/>
      <c r="S9" s="681"/>
      <c r="T9" s="681"/>
      <c r="U9" s="681"/>
      <c r="V9" s="681"/>
      <c r="W9" s="681"/>
      <c r="X9" s="681"/>
      <c r="Y9" s="681"/>
      <c r="Z9" s="681"/>
      <c r="AA9" s="681"/>
      <c r="AB9" s="681"/>
      <c r="AC9" s="681"/>
      <c r="AD9" s="681"/>
      <c r="AE9" s="681"/>
      <c r="AF9" s="681"/>
      <c r="AG9" s="681"/>
      <c r="AH9" s="681"/>
      <c r="AI9" s="681"/>
      <c r="AJ9" s="681"/>
      <c r="AK9" s="681"/>
      <c r="AL9" s="681"/>
      <c r="AM9" s="681"/>
      <c r="AN9" s="681"/>
      <c r="AO9" s="681"/>
      <c r="AP9" s="681"/>
      <c r="AQ9" s="681"/>
      <c r="AR9" s="681"/>
      <c r="AS9" s="681"/>
      <c r="AT9" s="681"/>
      <c r="AU9" s="681"/>
      <c r="AV9" s="681"/>
      <c r="AW9" s="681"/>
      <c r="AX9" s="681"/>
      <c r="AY9" s="681"/>
      <c r="AZ9" s="680"/>
      <c r="BA9" s="680"/>
      <c r="BB9" s="680"/>
      <c r="BC9" s="680"/>
      <c r="BD9" s="680"/>
      <c r="BE9" s="680"/>
      <c r="BF9" s="680"/>
    </row>
    <row r="10" spans="1:58" x14ac:dyDescent="0.3">
      <c r="A10" s="701" t="s">
        <v>142</v>
      </c>
      <c r="B10" s="678">
        <v>6372.9</v>
      </c>
      <c r="C10" s="678">
        <v>5958.2999999999993</v>
      </c>
      <c r="D10" s="678">
        <v>6171.7999999999993</v>
      </c>
      <c r="E10" s="678">
        <v>6611.8</v>
      </c>
      <c r="F10" s="678">
        <v>7079.9</v>
      </c>
      <c r="G10" s="677">
        <v>6033</v>
      </c>
      <c r="H10" s="676">
        <v>5783</v>
      </c>
      <c r="I10" s="675">
        <v>8201</v>
      </c>
      <c r="J10" s="675">
        <v>7213</v>
      </c>
      <c r="K10" s="675">
        <v>5942</v>
      </c>
      <c r="L10" s="675">
        <v>5962</v>
      </c>
      <c r="M10" s="675">
        <v>6789</v>
      </c>
      <c r="N10" s="675">
        <v>6437</v>
      </c>
      <c r="O10" s="675">
        <v>6278</v>
      </c>
      <c r="P10" s="675">
        <v>6179</v>
      </c>
      <c r="Q10" s="675">
        <v>6069</v>
      </c>
      <c r="R10" s="675">
        <v>5355</v>
      </c>
      <c r="S10" s="675">
        <v>5614</v>
      </c>
      <c r="T10" s="675">
        <v>5259</v>
      </c>
      <c r="U10" s="675">
        <v>5269</v>
      </c>
      <c r="V10" s="675">
        <v>5168</v>
      </c>
      <c r="W10" s="675">
        <v>4508</v>
      </c>
      <c r="X10" s="675">
        <v>4383</v>
      </c>
      <c r="Y10" s="675">
        <v>3624</v>
      </c>
      <c r="Z10" s="675">
        <v>4000</v>
      </c>
      <c r="AA10" s="675">
        <v>3012</v>
      </c>
      <c r="AB10" s="675">
        <v>3427</v>
      </c>
      <c r="AC10" s="675">
        <v>6972</v>
      </c>
      <c r="AD10" s="675">
        <v>6020.8</v>
      </c>
      <c r="AE10" s="675">
        <v>5246.3</v>
      </c>
      <c r="AF10" s="675">
        <v>5384</v>
      </c>
      <c r="AG10" s="675">
        <v>3299</v>
      </c>
      <c r="AH10" s="675">
        <v>3530</v>
      </c>
      <c r="AI10" s="675">
        <v>3476</v>
      </c>
      <c r="AJ10" s="675">
        <v>3318</v>
      </c>
      <c r="AK10" s="675">
        <v>3995</v>
      </c>
      <c r="AL10" s="675">
        <v>5393.1500000000005</v>
      </c>
      <c r="AM10" s="675">
        <v>6074.71</v>
      </c>
      <c r="AN10" s="675">
        <v>6336</v>
      </c>
      <c r="AO10" s="675">
        <v>5856.7</v>
      </c>
      <c r="AP10" s="675">
        <v>11325.910000000002</v>
      </c>
      <c r="AQ10" s="675">
        <v>16862.82</v>
      </c>
      <c r="AR10" s="675">
        <v>21777.420000000002</v>
      </c>
      <c r="AS10" s="675">
        <v>23985.599999999999</v>
      </c>
      <c r="AT10" s="675">
        <v>22011.82</v>
      </c>
      <c r="AU10" s="675">
        <v>25698.329999999998</v>
      </c>
      <c r="AV10" s="675">
        <v>25379.919999999998</v>
      </c>
      <c r="AW10" s="675">
        <v>23254</v>
      </c>
      <c r="AX10" s="675">
        <v>23135.9</v>
      </c>
      <c r="AY10" s="675">
        <v>28569.359999999997</v>
      </c>
      <c r="AZ10" s="674">
        <v>27396.61</v>
      </c>
      <c r="BA10" s="674">
        <v>32823.22</v>
      </c>
      <c r="BB10" s="674">
        <v>34362.050000000003</v>
      </c>
      <c r="BC10" s="674">
        <v>31554.62</v>
      </c>
      <c r="BD10" s="674">
        <v>30848.38</v>
      </c>
      <c r="BE10" s="674">
        <v>29639.77</v>
      </c>
      <c r="BF10" s="674">
        <v>32529.81</v>
      </c>
    </row>
    <row r="11" spans="1:58" x14ac:dyDescent="0.3">
      <c r="A11" s="701"/>
      <c r="B11" s="700"/>
      <c r="C11" s="700"/>
      <c r="D11" s="700"/>
      <c r="E11" s="700"/>
      <c r="F11" s="673"/>
      <c r="G11" s="683"/>
      <c r="H11" s="682"/>
      <c r="I11" s="681"/>
      <c r="J11" s="681"/>
      <c r="K11" s="681"/>
      <c r="L11" s="681"/>
      <c r="M11" s="681"/>
      <c r="N11" s="681"/>
      <c r="O11" s="681"/>
      <c r="P11" s="681"/>
      <c r="Q11" s="681"/>
      <c r="R11" s="681"/>
      <c r="S11" s="681"/>
      <c r="T11" s="681"/>
      <c r="U11" s="681"/>
      <c r="V11" s="681"/>
      <c r="W11" s="681"/>
      <c r="X11" s="681"/>
      <c r="Y11" s="681"/>
      <c r="Z11" s="681"/>
      <c r="AA11" s="681"/>
      <c r="AB11" s="681"/>
      <c r="AC11" s="681"/>
      <c r="AD11" s="681"/>
      <c r="AE11" s="681"/>
      <c r="AF11" s="681"/>
      <c r="AG11" s="681"/>
      <c r="AH11" s="681"/>
      <c r="AI11" s="681"/>
      <c r="AJ11" s="681"/>
      <c r="AK11" s="681"/>
      <c r="AL11" s="681"/>
      <c r="AM11" s="681"/>
      <c r="AN11" s="681"/>
      <c r="AO11" s="681"/>
      <c r="AP11" s="681"/>
      <c r="AQ11" s="681"/>
      <c r="AR11" s="681"/>
      <c r="AS11" s="681"/>
      <c r="AT11" s="681"/>
      <c r="AU11" s="681"/>
      <c r="AV11" s="681"/>
      <c r="AW11" s="681"/>
      <c r="AX11" s="681"/>
      <c r="AY11" s="681"/>
      <c r="AZ11" s="680"/>
      <c r="BA11" s="680"/>
      <c r="BB11" s="680"/>
      <c r="BC11" s="680"/>
      <c r="BD11" s="680"/>
      <c r="BE11" s="680"/>
      <c r="BF11" s="680"/>
    </row>
    <row r="12" spans="1:58" x14ac:dyDescent="0.3">
      <c r="A12" s="699" t="s">
        <v>429</v>
      </c>
      <c r="B12" s="689">
        <v>3552.9</v>
      </c>
      <c r="C12" s="689">
        <v>3391</v>
      </c>
      <c r="D12" s="689">
        <v>3712.9</v>
      </c>
      <c r="E12" s="689">
        <v>4213.6000000000004</v>
      </c>
      <c r="F12" s="689">
        <v>4606</v>
      </c>
      <c r="G12" s="698">
        <v>3623</v>
      </c>
      <c r="H12" s="696">
        <v>3491</v>
      </c>
      <c r="I12" s="696">
        <v>5581</v>
      </c>
      <c r="J12" s="696">
        <v>4563</v>
      </c>
      <c r="K12" s="696">
        <v>3332</v>
      </c>
      <c r="L12" s="696">
        <v>3364</v>
      </c>
      <c r="M12" s="696">
        <v>4290</v>
      </c>
      <c r="N12" s="696">
        <v>3880</v>
      </c>
      <c r="O12" s="696">
        <v>3785</v>
      </c>
      <c r="P12" s="696">
        <v>3677</v>
      </c>
      <c r="Q12" s="696">
        <v>2613</v>
      </c>
      <c r="R12" s="696">
        <v>2573</v>
      </c>
      <c r="S12" s="696">
        <v>2867</v>
      </c>
      <c r="T12" s="696">
        <v>2676</v>
      </c>
      <c r="U12" s="696">
        <v>2748</v>
      </c>
      <c r="V12" s="696">
        <v>2817</v>
      </c>
      <c r="W12" s="696">
        <v>2444</v>
      </c>
      <c r="X12" s="696">
        <v>2456</v>
      </c>
      <c r="Y12" s="696">
        <v>1729</v>
      </c>
      <c r="Z12" s="696">
        <v>2244</v>
      </c>
      <c r="AA12" s="696">
        <v>1156</v>
      </c>
      <c r="AB12" s="696">
        <v>1650</v>
      </c>
      <c r="AC12" s="696">
        <v>5144</v>
      </c>
      <c r="AD12" s="696">
        <v>4280</v>
      </c>
      <c r="AE12" s="696">
        <v>3957</v>
      </c>
      <c r="AF12" s="696">
        <v>4165</v>
      </c>
      <c r="AG12" s="696">
        <v>2739</v>
      </c>
      <c r="AH12" s="696">
        <v>2995</v>
      </c>
      <c r="AI12" s="696">
        <v>2588</v>
      </c>
      <c r="AJ12" s="696">
        <v>2490</v>
      </c>
      <c r="AK12" s="696">
        <v>3026</v>
      </c>
      <c r="AL12" s="696">
        <v>3151.78</v>
      </c>
      <c r="AM12" s="696">
        <v>3689</v>
      </c>
      <c r="AN12" s="696">
        <v>3646</v>
      </c>
      <c r="AO12" s="696">
        <v>2341.4</v>
      </c>
      <c r="AP12" s="696">
        <v>5265.39</v>
      </c>
      <c r="AQ12" s="696">
        <v>10232.17</v>
      </c>
      <c r="AR12" s="696">
        <v>13937.16</v>
      </c>
      <c r="AS12" s="696">
        <v>15806.01</v>
      </c>
      <c r="AT12" s="696">
        <v>13741</v>
      </c>
      <c r="AU12" s="696">
        <v>17223.02</v>
      </c>
      <c r="AV12" s="696">
        <v>16529.689999999999</v>
      </c>
      <c r="AW12" s="696">
        <v>14137</v>
      </c>
      <c r="AX12" s="696">
        <v>13762.07</v>
      </c>
      <c r="AY12" s="696">
        <v>14676</v>
      </c>
      <c r="AZ12" s="697">
        <v>14221.02</v>
      </c>
      <c r="BA12" s="697">
        <v>18697.2</v>
      </c>
      <c r="BB12" s="697">
        <v>20128.66</v>
      </c>
      <c r="BC12" s="697">
        <v>16347.46</v>
      </c>
      <c r="BD12" s="696">
        <v>12697.84</v>
      </c>
      <c r="BE12" s="696">
        <v>12078.94</v>
      </c>
      <c r="BF12" s="696">
        <v>14889.53</v>
      </c>
    </row>
    <row r="13" spans="1:58" x14ac:dyDescent="0.3">
      <c r="A13" s="695" t="s">
        <v>428</v>
      </c>
      <c r="B13" s="689">
        <v>2133</v>
      </c>
      <c r="C13" s="689">
        <v>2009.4</v>
      </c>
      <c r="D13" s="689">
        <v>1907</v>
      </c>
      <c r="E13" s="689">
        <v>1863.5</v>
      </c>
      <c r="F13" s="694">
        <v>1944</v>
      </c>
      <c r="G13" s="693">
        <v>1898</v>
      </c>
      <c r="H13" s="691">
        <v>1784</v>
      </c>
      <c r="I13" s="691">
        <v>1828</v>
      </c>
      <c r="J13" s="691">
        <v>1892</v>
      </c>
      <c r="K13" s="691">
        <v>1868</v>
      </c>
      <c r="L13" s="691">
        <v>1860</v>
      </c>
      <c r="M13" s="691">
        <v>1908</v>
      </c>
      <c r="N13" s="691">
        <v>1953</v>
      </c>
      <c r="O13" s="691">
        <v>1913</v>
      </c>
      <c r="P13" s="691">
        <v>1927</v>
      </c>
      <c r="Q13" s="691">
        <v>2917</v>
      </c>
      <c r="R13" s="691">
        <v>2272</v>
      </c>
      <c r="S13" s="691">
        <v>2252</v>
      </c>
      <c r="T13" s="691">
        <v>2093</v>
      </c>
      <c r="U13" s="691">
        <v>2067</v>
      </c>
      <c r="V13" s="691">
        <v>1927</v>
      </c>
      <c r="W13" s="691">
        <v>1892</v>
      </c>
      <c r="X13" s="691">
        <v>1759</v>
      </c>
      <c r="Y13" s="691">
        <v>1743</v>
      </c>
      <c r="Z13" s="691">
        <v>1608</v>
      </c>
      <c r="AA13" s="691">
        <v>1581</v>
      </c>
      <c r="AB13" s="691">
        <v>1489</v>
      </c>
      <c r="AC13" s="691">
        <v>1471</v>
      </c>
      <c r="AD13" s="691">
        <v>1369</v>
      </c>
      <c r="AE13" s="691">
        <v>931</v>
      </c>
      <c r="AF13" s="691">
        <v>864</v>
      </c>
      <c r="AG13" s="691">
        <v>233</v>
      </c>
      <c r="AH13" s="691">
        <v>211</v>
      </c>
      <c r="AI13" s="691">
        <v>202</v>
      </c>
      <c r="AJ13" s="691">
        <v>192</v>
      </c>
      <c r="AK13" s="691">
        <v>241</v>
      </c>
      <c r="AL13" s="691">
        <v>1410.53</v>
      </c>
      <c r="AM13" s="691">
        <v>1435.39</v>
      </c>
      <c r="AN13" s="691">
        <v>1431</v>
      </c>
      <c r="AO13" s="691">
        <v>1338.1</v>
      </c>
      <c r="AP13" s="691">
        <v>4163.8500000000004</v>
      </c>
      <c r="AQ13" s="691">
        <v>4721.1000000000004</v>
      </c>
      <c r="AR13" s="691">
        <v>5217.97</v>
      </c>
      <c r="AS13" s="691">
        <v>5553.79</v>
      </c>
      <c r="AT13" s="691">
        <v>5534.45</v>
      </c>
      <c r="AU13" s="691">
        <v>6411.96</v>
      </c>
      <c r="AV13" s="691">
        <v>6864.9500000000007</v>
      </c>
      <c r="AW13" s="691">
        <v>7157</v>
      </c>
      <c r="AX13" s="691">
        <v>8654.130000000001</v>
      </c>
      <c r="AY13" s="691">
        <v>13266.24</v>
      </c>
      <c r="AZ13" s="692">
        <v>12560.21</v>
      </c>
      <c r="BA13" s="692">
        <v>13521.94</v>
      </c>
      <c r="BB13" s="692">
        <v>13640.39</v>
      </c>
      <c r="BC13" s="692">
        <v>14702.3</v>
      </c>
      <c r="BD13" s="691">
        <v>17654.48</v>
      </c>
      <c r="BE13" s="691">
        <v>17163.46</v>
      </c>
      <c r="BF13" s="691">
        <v>17251.37</v>
      </c>
    </row>
    <row r="14" spans="1:58" x14ac:dyDescent="0.3">
      <c r="A14" s="690" t="s">
        <v>427</v>
      </c>
      <c r="B14" s="689">
        <v>687</v>
      </c>
      <c r="C14" s="689">
        <v>557.9</v>
      </c>
      <c r="D14" s="689">
        <v>551.9</v>
      </c>
      <c r="E14" s="689">
        <v>534.70000000000005</v>
      </c>
      <c r="F14" s="688">
        <v>529.9</v>
      </c>
      <c r="G14" s="687">
        <v>512</v>
      </c>
      <c r="H14" s="682">
        <v>508</v>
      </c>
      <c r="I14" s="681">
        <v>792</v>
      </c>
      <c r="J14" s="681">
        <v>758</v>
      </c>
      <c r="K14" s="681">
        <v>742</v>
      </c>
      <c r="L14" s="681">
        <v>738</v>
      </c>
      <c r="M14" s="681">
        <v>591</v>
      </c>
      <c r="N14" s="681">
        <v>604</v>
      </c>
      <c r="O14" s="681">
        <v>580</v>
      </c>
      <c r="P14" s="681">
        <v>575</v>
      </c>
      <c r="Q14" s="681">
        <v>539</v>
      </c>
      <c r="R14" s="681">
        <v>510</v>
      </c>
      <c r="S14" s="681">
        <v>495</v>
      </c>
      <c r="T14" s="681">
        <v>490</v>
      </c>
      <c r="U14" s="681">
        <v>454</v>
      </c>
      <c r="V14" s="681">
        <v>424</v>
      </c>
      <c r="W14" s="681">
        <v>172</v>
      </c>
      <c r="X14" s="681">
        <v>168</v>
      </c>
      <c r="Y14" s="681">
        <v>152</v>
      </c>
      <c r="Z14" s="681">
        <v>148</v>
      </c>
      <c r="AA14" s="681">
        <v>275</v>
      </c>
      <c r="AB14" s="681">
        <v>288</v>
      </c>
      <c r="AC14" s="681">
        <v>357</v>
      </c>
      <c r="AD14" s="685">
        <v>371.8</v>
      </c>
      <c r="AE14" s="685">
        <v>358.3</v>
      </c>
      <c r="AF14" s="681">
        <v>355</v>
      </c>
      <c r="AG14" s="681">
        <v>327</v>
      </c>
      <c r="AH14" s="681">
        <v>324</v>
      </c>
      <c r="AI14" s="681">
        <v>686</v>
      </c>
      <c r="AJ14" s="681">
        <v>636</v>
      </c>
      <c r="AK14" s="681">
        <v>728</v>
      </c>
      <c r="AL14" s="685">
        <v>830.84</v>
      </c>
      <c r="AM14" s="685">
        <v>950.32</v>
      </c>
      <c r="AN14" s="685">
        <v>1259</v>
      </c>
      <c r="AO14" s="685">
        <v>2177.1999999999998</v>
      </c>
      <c r="AP14" s="685">
        <v>1896.67</v>
      </c>
      <c r="AQ14" s="685">
        <v>1909.55</v>
      </c>
      <c r="AR14" s="685">
        <v>2622.29</v>
      </c>
      <c r="AS14" s="685">
        <v>2625.8</v>
      </c>
      <c r="AT14" s="685">
        <v>2736.37</v>
      </c>
      <c r="AU14" s="685">
        <v>2063.35</v>
      </c>
      <c r="AV14" s="685">
        <v>1985.2799999999997</v>
      </c>
      <c r="AW14" s="685">
        <v>1960</v>
      </c>
      <c r="AX14" s="685">
        <v>719.7</v>
      </c>
      <c r="AY14" s="685">
        <v>627.12</v>
      </c>
      <c r="AZ14" s="686">
        <v>615.38</v>
      </c>
      <c r="BA14" s="686">
        <v>604.08000000000004</v>
      </c>
      <c r="BB14" s="686">
        <v>593</v>
      </c>
      <c r="BC14" s="686">
        <v>504.86</v>
      </c>
      <c r="BD14" s="685">
        <v>496.06</v>
      </c>
      <c r="BE14" s="685">
        <v>397.37</v>
      </c>
      <c r="BF14" s="685">
        <v>388.91</v>
      </c>
    </row>
    <row r="15" spans="1:58" x14ac:dyDescent="0.3">
      <c r="A15" s="673"/>
      <c r="B15" s="684"/>
      <c r="C15" s="684"/>
      <c r="D15" s="684"/>
      <c r="E15" s="684"/>
      <c r="F15" s="673"/>
      <c r="G15" s="683"/>
      <c r="H15" s="682"/>
      <c r="I15" s="681"/>
      <c r="J15" s="681"/>
      <c r="K15" s="681"/>
      <c r="L15" s="681"/>
      <c r="M15" s="681"/>
      <c r="N15" s="681"/>
      <c r="O15" s="681"/>
      <c r="P15" s="681"/>
      <c r="Q15" s="681"/>
      <c r="R15" s="681"/>
      <c r="S15" s="681"/>
      <c r="T15" s="681"/>
      <c r="U15" s="681"/>
      <c r="V15" s="681"/>
      <c r="W15" s="681"/>
      <c r="X15" s="681"/>
      <c r="Y15" s="681"/>
      <c r="Z15" s="681"/>
      <c r="AA15" s="681"/>
      <c r="AB15" s="681"/>
      <c r="AC15" s="681"/>
      <c r="AD15" s="681"/>
      <c r="AE15" s="681"/>
      <c r="AF15" s="681"/>
      <c r="AG15" s="681"/>
      <c r="AH15" s="681"/>
      <c r="AI15" s="681"/>
      <c r="AJ15" s="681"/>
      <c r="AK15" s="681"/>
      <c r="AL15" s="681"/>
      <c r="AM15" s="681"/>
      <c r="AN15" s="681"/>
      <c r="AO15" s="681"/>
      <c r="AP15" s="681"/>
      <c r="AQ15" s="681"/>
      <c r="AR15" s="681"/>
      <c r="AS15" s="681"/>
      <c r="AT15" s="681"/>
      <c r="AU15" s="681"/>
      <c r="AV15" s="681"/>
      <c r="AW15" s="681"/>
      <c r="AX15" s="681"/>
      <c r="AY15" s="681"/>
      <c r="AZ15" s="680"/>
      <c r="BA15" s="680"/>
      <c r="BB15" s="680"/>
      <c r="BC15" s="680"/>
      <c r="BD15" s="680"/>
      <c r="BE15" s="680"/>
      <c r="BF15" s="680"/>
    </row>
    <row r="16" spans="1:58" x14ac:dyDescent="0.3">
      <c r="A16" s="679" t="s">
        <v>619</v>
      </c>
      <c r="B16" s="678">
        <v>11033.099999999999</v>
      </c>
      <c r="C16" s="678">
        <v>10440.5</v>
      </c>
      <c r="D16" s="678">
        <v>10631.599999999999</v>
      </c>
      <c r="E16" s="678">
        <v>11235.7</v>
      </c>
      <c r="F16" s="678">
        <v>11556.9</v>
      </c>
      <c r="G16" s="677">
        <v>10281</v>
      </c>
      <c r="H16" s="676">
        <v>9937</v>
      </c>
      <c r="I16" s="675">
        <v>12086</v>
      </c>
      <c r="J16" s="675">
        <v>10975</v>
      </c>
      <c r="K16" s="675">
        <v>9461</v>
      </c>
      <c r="L16" s="675">
        <v>9319</v>
      </c>
      <c r="M16" s="675">
        <v>9888</v>
      </c>
      <c r="N16" s="675">
        <v>9429</v>
      </c>
      <c r="O16" s="675">
        <v>12531</v>
      </c>
      <c r="P16" s="675">
        <v>12134</v>
      </c>
      <c r="Q16" s="675">
        <v>11555</v>
      </c>
      <c r="R16" s="675">
        <v>10756</v>
      </c>
      <c r="S16" s="675">
        <v>10703</v>
      </c>
      <c r="T16" s="675">
        <v>10318</v>
      </c>
      <c r="U16" s="675">
        <v>9619</v>
      </c>
      <c r="V16" s="675">
        <v>12622</v>
      </c>
      <c r="W16" s="675">
        <v>11959</v>
      </c>
      <c r="X16" s="675">
        <v>18251</v>
      </c>
      <c r="Y16" s="675">
        <v>17418</v>
      </c>
      <c r="Z16" s="675">
        <v>17788</v>
      </c>
      <c r="AA16" s="675">
        <v>17038</v>
      </c>
      <c r="AB16" s="675">
        <v>17536</v>
      </c>
      <c r="AC16" s="675">
        <v>24371</v>
      </c>
      <c r="AD16" s="675">
        <v>23511.8</v>
      </c>
      <c r="AE16" s="675">
        <v>22940.3</v>
      </c>
      <c r="AF16" s="675">
        <v>23014</v>
      </c>
      <c r="AG16" s="675">
        <v>17464</v>
      </c>
      <c r="AH16" s="675">
        <v>17765</v>
      </c>
      <c r="AI16" s="675">
        <v>17689</v>
      </c>
      <c r="AJ16" s="675">
        <v>11146</v>
      </c>
      <c r="AK16" s="675">
        <v>11867</v>
      </c>
      <c r="AL16" s="675">
        <v>13280.04</v>
      </c>
      <c r="AM16" s="675">
        <v>13950.369999999999</v>
      </c>
      <c r="AN16" s="675">
        <v>14225.85</v>
      </c>
      <c r="AO16" s="675">
        <v>13714.57</v>
      </c>
      <c r="AP16" s="675">
        <v>19301.330000000002</v>
      </c>
      <c r="AQ16" s="675">
        <v>24657.09</v>
      </c>
      <c r="AR16" s="675">
        <v>29647.95</v>
      </c>
      <c r="AS16" s="675">
        <v>32007.46</v>
      </c>
      <c r="AT16" s="675">
        <v>30125.27</v>
      </c>
      <c r="AU16" s="675">
        <v>33354.879999999997</v>
      </c>
      <c r="AV16" s="675">
        <v>33083.35</v>
      </c>
      <c r="AW16" s="675">
        <v>31066.68</v>
      </c>
      <c r="AX16" s="675">
        <v>30983.550000000003</v>
      </c>
      <c r="AY16" s="675">
        <v>36493.81</v>
      </c>
      <c r="AZ16" s="674">
        <v>35306.46</v>
      </c>
      <c r="BA16" s="674">
        <v>40726.07</v>
      </c>
      <c r="BB16" s="674">
        <v>42249.850000000006</v>
      </c>
      <c r="BC16" s="674">
        <v>36935.619999999995</v>
      </c>
      <c r="BD16" s="674">
        <v>36220.800000000003</v>
      </c>
      <c r="BE16" s="674">
        <v>34494.520000000004</v>
      </c>
      <c r="BF16" s="674">
        <v>37375.68</v>
      </c>
    </row>
    <row r="17" spans="1:58" x14ac:dyDescent="0.3">
      <c r="A17" s="673"/>
      <c r="B17" s="672"/>
      <c r="C17" s="672"/>
      <c r="D17" s="672"/>
      <c r="E17" s="672"/>
      <c r="F17" s="671"/>
      <c r="G17" s="670"/>
      <c r="H17" s="669"/>
      <c r="I17" s="668"/>
      <c r="J17" s="668"/>
      <c r="K17" s="668"/>
      <c r="L17" s="668"/>
      <c r="M17" s="668"/>
      <c r="N17" s="668"/>
      <c r="O17" s="668"/>
      <c r="P17" s="668"/>
      <c r="Q17" s="668"/>
      <c r="R17" s="668"/>
      <c r="S17" s="668"/>
      <c r="T17" s="668"/>
      <c r="U17" s="668"/>
      <c r="V17" s="668"/>
      <c r="W17" s="668"/>
      <c r="X17" s="668"/>
      <c r="Y17" s="668"/>
      <c r="Z17" s="668"/>
      <c r="AA17" s="668"/>
      <c r="AB17" s="668"/>
      <c r="AC17" s="668"/>
      <c r="AD17" s="668"/>
      <c r="AE17" s="668"/>
      <c r="AF17" s="668"/>
      <c r="AG17" s="668"/>
      <c r="AH17" s="668"/>
      <c r="AI17" s="668"/>
      <c r="AJ17" s="668"/>
      <c r="AK17" s="668"/>
      <c r="AL17" s="668"/>
      <c r="AM17" s="668"/>
      <c r="AN17" s="668"/>
      <c r="AO17" s="668"/>
      <c r="AP17" s="668"/>
      <c r="AQ17" s="668"/>
      <c r="AR17" s="668"/>
      <c r="AS17" s="668"/>
      <c r="AT17" s="668"/>
      <c r="AU17" s="668"/>
      <c r="AV17" s="668"/>
      <c r="AW17" s="668"/>
      <c r="AX17" s="668"/>
      <c r="AY17" s="668"/>
      <c r="AZ17" s="667"/>
      <c r="BA17" s="667"/>
      <c r="BB17" s="667"/>
      <c r="BC17" s="667"/>
      <c r="BD17" s="667"/>
      <c r="BE17" s="667"/>
      <c r="BF17" s="667"/>
    </row>
    <row r="18" spans="1:58" x14ac:dyDescent="0.3">
      <c r="A18" s="666"/>
      <c r="B18" s="665"/>
      <c r="C18" s="665"/>
      <c r="D18" s="665"/>
      <c r="E18" s="665"/>
    </row>
    <row r="19" spans="1:58" x14ac:dyDescent="0.3">
      <c r="A19" s="1342" t="s">
        <v>675</v>
      </c>
      <c r="B19" s="1342"/>
      <c r="C19" s="1342"/>
      <c r="D19" s="1342"/>
      <c r="E19" s="1342"/>
      <c r="F19" s="1342"/>
      <c r="G19" s="1342"/>
      <c r="H19" s="1342"/>
      <c r="I19" s="1342"/>
      <c r="J19" s="1342"/>
      <c r="K19" s="1342"/>
      <c r="L19" s="1342"/>
      <c r="M19" s="1342"/>
      <c r="N19" s="1342"/>
      <c r="O19" s="1342"/>
      <c r="P19" s="1342"/>
      <c r="Q19" s="1342"/>
      <c r="R19" s="1342"/>
      <c r="S19" s="1342"/>
      <c r="T19" s="1342"/>
      <c r="U19" s="1342"/>
      <c r="V19" s="1342"/>
      <c r="W19" s="1342"/>
      <c r="X19" s="1342"/>
      <c r="Y19" s="1342"/>
      <c r="Z19" s="1342"/>
      <c r="AA19" s="1342"/>
      <c r="AB19" s="1342"/>
      <c r="AC19" s="1342"/>
      <c r="AD19" s="1342"/>
      <c r="AE19" s="1342"/>
      <c r="AF19" s="1342"/>
      <c r="AG19" s="1342"/>
      <c r="AH19" s="1342"/>
      <c r="AI19" s="1342"/>
      <c r="AJ19" s="1342"/>
      <c r="AK19" s="1342"/>
      <c r="AL19" s="1342"/>
      <c r="AM19" s="1342"/>
      <c r="AN19" s="1342"/>
      <c r="AO19" s="1342"/>
      <c r="AP19" s="1342"/>
      <c r="AQ19" s="1342"/>
      <c r="AR19" s="1342"/>
      <c r="AS19" s="1342"/>
      <c r="AT19" s="1342"/>
      <c r="AU19" s="1342"/>
      <c r="AV19" s="1342"/>
      <c r="AW19" s="1342"/>
      <c r="AX19" s="1342"/>
      <c r="AY19" s="1342"/>
      <c r="AZ19" s="1342"/>
      <c r="BA19" s="1342"/>
      <c r="BB19" s="1342"/>
      <c r="BC19" s="1342"/>
      <c r="BD19" s="1342"/>
      <c r="BE19" s="1342"/>
      <c r="BF19" s="1342"/>
    </row>
    <row r="20" spans="1:58" ht="14.5" customHeight="1" x14ac:dyDescent="0.3">
      <c r="A20" s="1342" t="s">
        <v>111</v>
      </c>
      <c r="B20" s="1342"/>
      <c r="C20" s="1342"/>
      <c r="D20" s="1342"/>
      <c r="E20" s="1342"/>
      <c r="F20" s="1342"/>
      <c r="G20" s="1342"/>
      <c r="H20" s="1342"/>
      <c r="I20" s="1342"/>
      <c r="J20" s="1342"/>
      <c r="K20" s="1342"/>
      <c r="L20" s="1342"/>
      <c r="M20" s="1342"/>
      <c r="N20" s="1342"/>
      <c r="O20" s="1342"/>
      <c r="P20" s="1342"/>
      <c r="Q20" s="1342"/>
      <c r="R20" s="1342"/>
      <c r="S20" s="1342"/>
      <c r="T20" s="1342"/>
      <c r="U20" s="1342"/>
      <c r="V20" s="1342"/>
      <c r="W20" s="1342"/>
      <c r="X20" s="1342"/>
      <c r="Y20" s="1342"/>
      <c r="Z20" s="1342"/>
      <c r="AA20" s="1342"/>
      <c r="AB20" s="1342"/>
      <c r="AC20" s="1342"/>
      <c r="AD20" s="1342"/>
      <c r="AE20" s="1342"/>
      <c r="AF20" s="1342"/>
      <c r="AG20" s="1342"/>
      <c r="AH20" s="1342"/>
      <c r="AI20" s="1342"/>
      <c r="AJ20" s="1342"/>
      <c r="AK20" s="1342"/>
      <c r="AL20" s="1342"/>
      <c r="AM20" s="1342"/>
      <c r="AN20" s="1342"/>
      <c r="AO20" s="1342"/>
      <c r="AP20" s="1342"/>
      <c r="AQ20" s="1342"/>
      <c r="AR20" s="1342"/>
      <c r="AS20" s="1342"/>
      <c r="AT20" s="1342"/>
      <c r="AU20" s="1342"/>
      <c r="AV20" s="1342"/>
      <c r="AW20" s="1342"/>
      <c r="AX20" s="1342"/>
      <c r="AY20" s="1342"/>
      <c r="AZ20" s="1342"/>
      <c r="BA20" s="1342"/>
      <c r="BB20" s="1342"/>
      <c r="BC20" s="1342"/>
      <c r="BD20" s="1342"/>
      <c r="BE20" s="1342"/>
      <c r="BF20" s="1342"/>
    </row>
    <row r="21" spans="1:58" ht="14.5" x14ac:dyDescent="0.35">
      <c r="P21" s="664"/>
      <c r="Q21" s="664"/>
      <c r="R21" s="664"/>
      <c r="S21" s="664"/>
      <c r="T21" s="664"/>
      <c r="U21" s="663"/>
      <c r="V21" s="663"/>
      <c r="W21" s="663"/>
      <c r="X21" s="663"/>
      <c r="Y21" s="663"/>
    </row>
    <row r="22" spans="1:58" ht="15.5" x14ac:dyDescent="0.35">
      <c r="A22" s="662"/>
      <c r="P22" s="664"/>
      <c r="Q22" s="664"/>
      <c r="R22" s="664"/>
      <c r="S22" s="664"/>
      <c r="T22" s="664"/>
      <c r="U22" s="663"/>
      <c r="V22" s="663"/>
      <c r="W22" s="663"/>
      <c r="X22" s="663"/>
      <c r="Y22" s="663"/>
    </row>
    <row r="23" spans="1:58" ht="15.5" x14ac:dyDescent="0.3">
      <c r="A23" s="662"/>
    </row>
    <row r="24" spans="1:58" ht="15.5" x14ac:dyDescent="0.35">
      <c r="A24" s="661"/>
    </row>
    <row r="25" spans="1:58" ht="15.5" x14ac:dyDescent="0.35">
      <c r="A25" s="661"/>
    </row>
  </sheetData>
  <mergeCells count="3">
    <mergeCell ref="A1:BF1"/>
    <mergeCell ref="A19:BF19"/>
    <mergeCell ref="A20:BF20"/>
  </mergeCells>
  <printOptions horizontalCentered="1"/>
  <pageMargins left="0.43" right="0.35" top="0.62992125984251968" bottom="0.98425196850393704" header="0.51181102362204722" footer="0.51181102362204722"/>
  <pageSetup paperSize="9" scale="105" firstPageNumber="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P18"/>
  <sheetViews>
    <sheetView zoomScale="110" zoomScaleNormal="110" workbookViewId="0">
      <pane xSplit="1" ySplit="5" topLeftCell="FH6" activePane="bottomRight" state="frozen"/>
      <selection pane="topRight" activeCell="B1" sqref="B1"/>
      <selection pane="bottomLeft" activeCell="A6" sqref="A6"/>
      <selection pane="bottomRight" activeCell="FL10" sqref="FL10"/>
    </sheetView>
  </sheetViews>
  <sheetFormatPr defaultColWidth="9.08984375" defaultRowHeight="14.5" x14ac:dyDescent="0.35"/>
  <cols>
    <col min="1" max="1" width="29.90625" style="631" customWidth="1"/>
    <col min="2" max="2" width="7.453125" style="631" hidden="1" customWidth="1"/>
    <col min="3" max="3" width="8.453125" style="631" hidden="1" customWidth="1"/>
    <col min="4" max="4" width="6" style="631" hidden="1" customWidth="1"/>
    <col min="5" max="5" width="6.453125" style="631" hidden="1" customWidth="1"/>
    <col min="6" max="6" width="9.08984375" style="631" hidden="1" customWidth="1"/>
    <col min="7" max="7" width="6.453125" style="631" hidden="1" customWidth="1"/>
    <col min="8" max="8" width="7.453125" style="631" hidden="1" customWidth="1"/>
    <col min="9" max="9" width="8.453125" style="631" hidden="1" customWidth="1"/>
    <col min="10" max="10" width="5.36328125" style="631" hidden="1" customWidth="1"/>
    <col min="11" max="11" width="6.90625" style="631" hidden="1" customWidth="1"/>
    <col min="12" max="12" width="8.453125" style="631" hidden="1" customWidth="1"/>
    <col min="13" max="13" width="5.90625" style="631" hidden="1" customWidth="1"/>
    <col min="14" max="14" width="7.36328125" style="631" hidden="1" customWidth="1"/>
    <col min="15" max="15" width="8.453125" style="631" hidden="1" customWidth="1"/>
    <col min="16" max="16" width="5.453125" style="631" hidden="1" customWidth="1"/>
    <col min="17" max="17" width="7.08984375" style="631" hidden="1" customWidth="1"/>
    <col min="18" max="18" width="8.36328125" style="631" hidden="1" customWidth="1"/>
    <col min="19" max="19" width="5.453125" style="631" hidden="1" customWidth="1"/>
    <col min="20" max="20" width="7.6328125" style="631" hidden="1" customWidth="1"/>
    <col min="21" max="21" width="7.453125" style="631" hidden="1" customWidth="1"/>
    <col min="22" max="22" width="5.453125" style="631" hidden="1" customWidth="1"/>
    <col min="23" max="23" width="7.36328125" style="631" hidden="1" customWidth="1"/>
    <col min="24" max="24" width="8.453125" style="631" hidden="1" customWidth="1"/>
    <col min="25" max="25" width="6.36328125" style="631" hidden="1" customWidth="1"/>
    <col min="26" max="26" width="7.08984375" style="631" hidden="1" customWidth="1"/>
    <col min="27" max="27" width="8.08984375" style="631" hidden="1" customWidth="1"/>
    <col min="28" max="28" width="6.90625" style="631" hidden="1" customWidth="1"/>
    <col min="29" max="29" width="7.08984375" style="631" hidden="1" customWidth="1"/>
    <col min="30" max="30" width="8.08984375" style="631" hidden="1" customWidth="1"/>
    <col min="31" max="31" width="6.90625" style="631" hidden="1" customWidth="1"/>
    <col min="32" max="32" width="8.36328125" style="631" hidden="1" customWidth="1"/>
    <col min="33" max="33" width="9.36328125" style="631" hidden="1" customWidth="1"/>
    <col min="34" max="34" width="8.08984375" style="631" hidden="1" customWidth="1"/>
    <col min="35" max="39" width="9.08984375" style="631" hidden="1" customWidth="1"/>
    <col min="40" max="40" width="8" style="631" hidden="1" customWidth="1"/>
    <col min="41" max="42" width="9.08984375" style="631" hidden="1" customWidth="1"/>
    <col min="43" max="43" width="8" style="631" hidden="1" customWidth="1"/>
    <col min="44" max="44" width="7.6328125" style="631" hidden="1" customWidth="1"/>
    <col min="45" max="45" width="8.08984375" style="631" hidden="1" customWidth="1"/>
    <col min="46" max="46" width="5.453125" style="631" hidden="1" customWidth="1"/>
    <col min="47" max="47" width="7.36328125" style="631" hidden="1" customWidth="1"/>
    <col min="48" max="48" width="8.453125" style="631" hidden="1" customWidth="1"/>
    <col min="49" max="49" width="5.453125" style="631" hidden="1" customWidth="1"/>
    <col min="50" max="50" width="7.453125" style="631" hidden="1" customWidth="1"/>
    <col min="51" max="51" width="8.36328125" style="631" hidden="1" customWidth="1"/>
    <col min="52" max="52" width="5.453125" style="631" hidden="1" customWidth="1"/>
    <col min="53" max="53" width="7.453125" style="631" hidden="1" customWidth="1"/>
    <col min="54" max="54" width="8" style="631" hidden="1" customWidth="1"/>
    <col min="55" max="55" width="5.453125" style="631" hidden="1" customWidth="1"/>
    <col min="56" max="56" width="7.6328125" style="631" hidden="1" customWidth="1"/>
    <col min="57" max="57" width="8.36328125" style="631" hidden="1" customWidth="1"/>
    <col min="58" max="58" width="5.6328125" style="631" hidden="1" customWidth="1"/>
    <col min="59" max="59" width="7.453125" style="631" hidden="1" customWidth="1"/>
    <col min="60" max="60" width="8.36328125" style="631" hidden="1" customWidth="1"/>
    <col min="61" max="61" width="5.453125" style="631" hidden="1" customWidth="1"/>
    <col min="62" max="62" width="7.36328125" style="631" hidden="1" customWidth="1"/>
    <col min="63" max="63" width="8.6328125" style="631" hidden="1" customWidth="1"/>
    <col min="64" max="64" width="6" style="631" hidden="1" customWidth="1"/>
    <col min="65" max="65" width="7.453125" style="631" hidden="1" customWidth="1"/>
    <col min="66" max="66" width="8.36328125" style="631" hidden="1" customWidth="1"/>
    <col min="67" max="67" width="5.90625" style="631" hidden="1" customWidth="1"/>
    <col min="68" max="68" width="7.453125" style="631" hidden="1" customWidth="1"/>
    <col min="69" max="69" width="8.453125" style="631" hidden="1" customWidth="1"/>
    <col min="70" max="70" width="6" style="631" hidden="1" customWidth="1"/>
    <col min="71" max="71" width="6.90625" style="631" hidden="1" customWidth="1"/>
    <col min="72" max="72" width="8.90625" style="631" hidden="1" customWidth="1"/>
    <col min="73" max="73" width="6.08984375" style="631" hidden="1" customWidth="1"/>
    <col min="74" max="74" width="7" style="631" hidden="1" customWidth="1"/>
    <col min="75" max="75" width="8.453125" style="631" hidden="1" customWidth="1"/>
    <col min="76" max="76" width="6" style="631" hidden="1" customWidth="1"/>
    <col min="77" max="77" width="7.36328125" style="631" hidden="1" customWidth="1"/>
    <col min="78" max="78" width="8.90625" style="631" hidden="1" customWidth="1"/>
    <col min="79" max="79" width="5.6328125" style="631" hidden="1" customWidth="1"/>
    <col min="80" max="80" width="7.08984375" style="631" hidden="1" customWidth="1"/>
    <col min="81" max="81" width="8.36328125" style="631" hidden="1" customWidth="1"/>
    <col min="82" max="82" width="5.6328125" style="631" hidden="1" customWidth="1"/>
    <col min="83" max="83" width="7.453125" style="631" hidden="1" customWidth="1"/>
    <col min="84" max="84" width="8.6328125" style="631" hidden="1" customWidth="1"/>
    <col min="85" max="85" width="5.453125" style="631" hidden="1" customWidth="1"/>
    <col min="86" max="86" width="7.453125" style="631" hidden="1" customWidth="1"/>
    <col min="87" max="87" width="8.453125" style="631" hidden="1" customWidth="1"/>
    <col min="88" max="88" width="5.90625" style="631" hidden="1" customWidth="1"/>
    <col min="89" max="89" width="7.453125" style="631" hidden="1" customWidth="1"/>
    <col min="90" max="90" width="8.90625" style="631" hidden="1" customWidth="1"/>
    <col min="91" max="91" width="5.6328125" style="631" hidden="1" customWidth="1"/>
    <col min="92" max="92" width="7.453125" style="631" hidden="1" customWidth="1"/>
    <col min="93" max="93" width="8.453125" style="631" hidden="1" customWidth="1"/>
    <col min="94" max="94" width="5.453125" style="631" hidden="1" customWidth="1"/>
    <col min="95" max="95" width="7.453125" style="631" hidden="1" customWidth="1"/>
    <col min="96" max="96" width="8.453125" style="631" hidden="1" customWidth="1"/>
    <col min="97" max="97" width="5.453125" style="631" hidden="1" customWidth="1"/>
    <col min="98" max="98" width="7.36328125" style="631" hidden="1" customWidth="1"/>
    <col min="99" max="99" width="8.453125" style="631" hidden="1" customWidth="1"/>
    <col min="100" max="100" width="5.6328125" style="631" hidden="1" customWidth="1"/>
    <col min="101" max="101" width="7.453125" style="631" hidden="1" customWidth="1"/>
    <col min="102" max="102" width="8.453125" style="631" hidden="1" customWidth="1"/>
    <col min="103" max="103" width="5.90625" style="631" hidden="1" customWidth="1"/>
    <col min="104" max="104" width="7.90625" style="631" hidden="1" customWidth="1"/>
    <col min="105" max="105" width="8.453125" style="631" hidden="1" customWidth="1"/>
    <col min="106" max="106" width="6.08984375" style="631" hidden="1" customWidth="1"/>
    <col min="107" max="107" width="8" style="631" hidden="1" customWidth="1"/>
    <col min="108" max="108" width="8.36328125" style="631" hidden="1" customWidth="1"/>
    <col min="109" max="109" width="5.90625" style="631" hidden="1" customWidth="1"/>
    <col min="110" max="110" width="7.6328125" style="631" hidden="1" customWidth="1"/>
    <col min="111" max="111" width="8.6328125" style="631" hidden="1" customWidth="1"/>
    <col min="112" max="112" width="5.90625" style="631" hidden="1" customWidth="1"/>
    <col min="113" max="113" width="7.453125" style="631" hidden="1" customWidth="1"/>
    <col min="114" max="114" width="8.90625" style="631" hidden="1" customWidth="1"/>
    <col min="115" max="115" width="6.453125" style="631" hidden="1" customWidth="1"/>
    <col min="116" max="116" width="7.36328125" style="631" hidden="1" customWidth="1"/>
    <col min="117" max="117" width="8.36328125" style="631" hidden="1" customWidth="1"/>
    <col min="118" max="118" width="6" style="631" hidden="1" customWidth="1"/>
    <col min="119" max="119" width="7.36328125" style="631" hidden="1" customWidth="1"/>
    <col min="120" max="120" width="8.08984375" style="631" hidden="1" customWidth="1"/>
    <col min="121" max="121" width="6" style="631" hidden="1" customWidth="1"/>
    <col min="122" max="122" width="7.453125" style="631" hidden="1" customWidth="1"/>
    <col min="123" max="123" width="8.08984375" style="631" hidden="1" customWidth="1"/>
    <col min="124" max="124" width="6" style="631" hidden="1" customWidth="1"/>
    <col min="125" max="125" width="6.90625" style="631" hidden="1" customWidth="1"/>
    <col min="126" max="126" width="8.453125" style="631" hidden="1" customWidth="1"/>
    <col min="127" max="127" width="6.08984375" style="631" hidden="1" customWidth="1"/>
    <col min="128" max="128" width="6.90625" style="631" hidden="1" customWidth="1"/>
    <col min="129" max="129" width="8.6328125" style="631" hidden="1" customWidth="1"/>
    <col min="130" max="130" width="6.08984375" style="631" hidden="1" customWidth="1"/>
    <col min="131" max="131" width="7.453125" style="631" hidden="1" customWidth="1"/>
    <col min="132" max="132" width="8.36328125" style="631" hidden="1" customWidth="1"/>
    <col min="133" max="133" width="6.36328125" style="631" hidden="1" customWidth="1"/>
    <col min="134" max="134" width="7.90625" style="631" hidden="1" customWidth="1"/>
    <col min="135" max="135" width="8.6328125" style="631" hidden="1" customWidth="1"/>
    <col min="136" max="136" width="6.6328125" style="631" hidden="1" customWidth="1"/>
    <col min="137" max="137" width="8.36328125" style="631" hidden="1" customWidth="1"/>
    <col min="138" max="138" width="8.453125" style="631" hidden="1" customWidth="1"/>
    <col min="139" max="139" width="6.453125" style="631" hidden="1" customWidth="1"/>
    <col min="140" max="140" width="8.08984375" style="631" hidden="1" customWidth="1"/>
    <col min="141" max="141" width="8.6328125" style="631" hidden="1" customWidth="1"/>
    <col min="142" max="142" width="6.453125" style="631" hidden="1" customWidth="1"/>
    <col min="143" max="143" width="7.90625" style="631" hidden="1" customWidth="1"/>
    <col min="144" max="144" width="8.36328125" style="631" hidden="1" customWidth="1"/>
    <col min="145" max="145" width="6.08984375" style="631" hidden="1" customWidth="1"/>
    <col min="146" max="146" width="7.453125" style="631" hidden="1" customWidth="1"/>
    <col min="147" max="147" width="8.6328125" style="631" hidden="1" customWidth="1"/>
    <col min="148" max="148" width="6.453125" style="631" hidden="1" customWidth="1"/>
    <col min="149" max="149" width="7.90625" style="631" hidden="1" customWidth="1"/>
    <col min="150" max="150" width="8.453125" style="631" hidden="1" customWidth="1"/>
    <col min="151" max="151" width="6.90625" style="631" hidden="1" customWidth="1"/>
    <col min="152" max="152" width="8.08984375" style="631" hidden="1" customWidth="1"/>
    <col min="153" max="153" width="9.08984375" style="631" hidden="1" customWidth="1"/>
    <col min="154" max="154" width="7.6328125" style="631" hidden="1" customWidth="1"/>
    <col min="155" max="155" width="8.08984375" style="631" hidden="1" customWidth="1"/>
    <col min="156" max="156" width="8.453125" style="631" hidden="1" customWidth="1"/>
    <col min="157" max="157" width="7.90625" style="631" hidden="1" customWidth="1"/>
    <col min="158" max="158" width="8.08984375" style="631" hidden="1" customWidth="1"/>
    <col min="159" max="159" width="8.453125" style="631" hidden="1" customWidth="1"/>
    <col min="160" max="160" width="8" style="631" hidden="1" customWidth="1"/>
    <col min="161" max="161" width="8.08984375" style="631" hidden="1" customWidth="1"/>
    <col min="162" max="162" width="8.453125" style="631" hidden="1" customWidth="1"/>
    <col min="163" max="163" width="8" style="631" hidden="1" customWidth="1"/>
    <col min="164" max="164" width="8.08984375" style="631" customWidth="1"/>
    <col min="165" max="165" width="8.453125" style="631" customWidth="1"/>
    <col min="166" max="166" width="8" style="631" customWidth="1"/>
    <col min="167" max="167" width="8.08984375" style="631" customWidth="1"/>
    <col min="168" max="168" width="8.453125" style="631" customWidth="1"/>
    <col min="169" max="169" width="8" style="631" customWidth="1"/>
    <col min="170" max="170" width="8.08984375" style="631" customWidth="1"/>
    <col min="171" max="171" width="8.453125" style="631" customWidth="1"/>
    <col min="172" max="172" width="8" style="631" customWidth="1"/>
    <col min="173" max="16384" width="9.08984375" style="631"/>
  </cols>
  <sheetData>
    <row r="1" spans="1:172" ht="19.5" customHeight="1" x14ac:dyDescent="0.35">
      <c r="A1" s="1283" t="s">
        <v>685</v>
      </c>
      <c r="B1" s="1283"/>
      <c r="C1" s="1283"/>
      <c r="D1" s="1283"/>
      <c r="E1" s="1283"/>
      <c r="F1" s="1283"/>
      <c r="G1" s="1283"/>
      <c r="H1" s="1283"/>
      <c r="I1" s="1283"/>
      <c r="J1" s="1283"/>
      <c r="K1" s="1283"/>
      <c r="L1" s="1283"/>
      <c r="M1" s="1283"/>
      <c r="N1" s="1283"/>
      <c r="O1" s="1283"/>
      <c r="P1" s="1283"/>
      <c r="Q1" s="1283"/>
      <c r="R1" s="1283"/>
      <c r="S1" s="1283"/>
      <c r="T1" s="1283"/>
      <c r="U1" s="1283"/>
      <c r="V1" s="1283"/>
      <c r="W1" s="1283"/>
      <c r="X1" s="1283"/>
      <c r="Y1" s="1283"/>
      <c r="Z1" s="1283"/>
      <c r="AA1" s="1283"/>
      <c r="AB1" s="1283"/>
      <c r="AC1" s="1283"/>
      <c r="AD1" s="1283"/>
      <c r="AE1" s="1283"/>
      <c r="AF1" s="1283"/>
      <c r="AG1" s="1283"/>
      <c r="AH1" s="1283"/>
      <c r="AI1" s="1283"/>
      <c r="AJ1" s="1283"/>
      <c r="AK1" s="1283"/>
      <c r="AL1" s="1283"/>
      <c r="AM1" s="1283"/>
      <c r="AN1" s="1283"/>
      <c r="AO1" s="1283"/>
      <c r="AP1" s="1283"/>
      <c r="AQ1" s="1283"/>
      <c r="AR1" s="1283"/>
      <c r="AS1" s="1283"/>
      <c r="AT1" s="1283"/>
      <c r="AU1" s="1283"/>
      <c r="AV1" s="1283"/>
      <c r="AW1" s="1283"/>
      <c r="AX1" s="1283"/>
      <c r="AY1" s="1283"/>
      <c r="AZ1" s="1283"/>
      <c r="BA1" s="1283"/>
      <c r="BB1" s="1283"/>
      <c r="BC1" s="1283"/>
      <c r="BD1" s="1283"/>
      <c r="BE1" s="1283"/>
      <c r="BF1" s="1283"/>
      <c r="BG1" s="1283"/>
      <c r="BH1" s="1283"/>
      <c r="BI1" s="1283"/>
      <c r="BJ1" s="1283"/>
      <c r="BK1" s="1283"/>
      <c r="BL1" s="1283"/>
      <c r="BM1" s="1283"/>
      <c r="BN1" s="1283"/>
      <c r="BO1" s="1283"/>
      <c r="BP1" s="1283"/>
      <c r="BQ1" s="1283"/>
      <c r="BR1" s="1283"/>
      <c r="BS1" s="1283"/>
      <c r="BT1" s="1283"/>
      <c r="BU1" s="1283"/>
      <c r="BV1" s="1283"/>
      <c r="BW1" s="1283"/>
      <c r="BX1" s="1283"/>
      <c r="BY1" s="1283"/>
      <c r="BZ1" s="1283"/>
      <c r="CA1" s="1283"/>
      <c r="CB1" s="1283"/>
      <c r="CC1" s="1283"/>
      <c r="CD1" s="1283"/>
      <c r="CE1" s="1283"/>
      <c r="CF1" s="1283"/>
      <c r="CG1" s="1283"/>
      <c r="CH1" s="1283"/>
      <c r="CI1" s="1283"/>
      <c r="CJ1" s="1283"/>
      <c r="CK1" s="1283"/>
      <c r="CL1" s="1283"/>
      <c r="CM1" s="1283"/>
      <c r="CN1" s="1283"/>
      <c r="CO1" s="1283"/>
      <c r="CP1" s="1283"/>
      <c r="CQ1" s="1283"/>
      <c r="CR1" s="1283"/>
      <c r="CS1" s="1283"/>
      <c r="CT1" s="1283"/>
      <c r="CU1" s="1283"/>
      <c r="CV1" s="1283"/>
      <c r="CW1" s="1283"/>
      <c r="CX1" s="1283"/>
      <c r="CY1" s="1283"/>
      <c r="CZ1" s="1283"/>
      <c r="DA1" s="1283"/>
      <c r="DB1" s="1283"/>
      <c r="DC1" s="1283"/>
      <c r="DD1" s="1283"/>
      <c r="DE1" s="1283"/>
      <c r="DF1" s="1283"/>
      <c r="DG1" s="1283"/>
      <c r="DH1" s="1283"/>
      <c r="DI1" s="1283"/>
      <c r="DJ1" s="1283"/>
      <c r="DK1" s="1283"/>
      <c r="DL1" s="1283"/>
      <c r="DM1" s="1283"/>
      <c r="DN1" s="1283"/>
      <c r="DO1" s="1283"/>
      <c r="DP1" s="1283"/>
      <c r="DQ1" s="1283"/>
      <c r="DR1" s="1283"/>
      <c r="DS1" s="1283"/>
      <c r="DT1" s="1283"/>
      <c r="DU1" s="1283"/>
      <c r="DV1" s="1283"/>
      <c r="DW1" s="1283"/>
      <c r="DX1" s="1283"/>
      <c r="DY1" s="1283"/>
      <c r="DZ1" s="1283"/>
      <c r="EA1" s="1283"/>
      <c r="EB1" s="1283"/>
      <c r="EC1" s="1283"/>
      <c r="ED1" s="1283"/>
      <c r="EE1" s="1283"/>
      <c r="EF1" s="1283"/>
      <c r="EG1" s="1283"/>
      <c r="EH1" s="1283"/>
      <c r="EI1" s="1283"/>
      <c r="EJ1" s="1283"/>
      <c r="EK1" s="1283"/>
      <c r="EL1" s="1283"/>
      <c r="EM1" s="1283"/>
      <c r="EN1" s="1283"/>
      <c r="EO1" s="1283"/>
      <c r="EP1" s="1283"/>
      <c r="EQ1" s="1283"/>
      <c r="ER1" s="1283"/>
      <c r="ES1" s="1283"/>
      <c r="ET1" s="1283"/>
      <c r="EU1" s="1283"/>
      <c r="EV1" s="1283"/>
      <c r="EW1" s="1283"/>
      <c r="EX1" s="1283"/>
      <c r="EY1" s="1283"/>
      <c r="EZ1" s="1283"/>
      <c r="FA1" s="1283"/>
      <c r="FB1" s="1283"/>
      <c r="FC1" s="1283"/>
      <c r="FD1" s="1283"/>
      <c r="FE1" s="1283"/>
      <c r="FF1" s="1283"/>
      <c r="FG1" s="1283"/>
      <c r="FH1" s="1283"/>
      <c r="FI1" s="1283"/>
      <c r="FJ1" s="1283"/>
      <c r="FK1" s="1283"/>
      <c r="FL1" s="1283"/>
      <c r="FM1" s="1283"/>
      <c r="FN1" s="1283"/>
      <c r="FO1" s="1283"/>
      <c r="FP1" s="1283"/>
    </row>
    <row r="2" spans="1:172" ht="15.5" x14ac:dyDescent="0.35">
      <c r="A2" s="765"/>
      <c r="B2" s="765"/>
      <c r="C2" s="765"/>
      <c r="D2" s="765"/>
      <c r="E2" s="765"/>
      <c r="F2" s="765"/>
      <c r="G2" s="765"/>
      <c r="H2" s="765"/>
      <c r="I2" s="765"/>
      <c r="J2" s="765"/>
      <c r="K2" s="765"/>
      <c r="L2" s="765"/>
      <c r="M2" s="765"/>
      <c r="N2" s="765"/>
      <c r="O2" s="764"/>
      <c r="P2" s="763"/>
      <c r="Q2" s="765"/>
      <c r="R2" s="764"/>
      <c r="S2" s="763"/>
      <c r="T2" s="765"/>
      <c r="U2" s="764"/>
      <c r="V2" s="763"/>
      <c r="W2" s="765"/>
      <c r="X2" s="764"/>
      <c r="Y2" s="763"/>
      <c r="Z2" s="765"/>
      <c r="AA2" s="764"/>
      <c r="AB2" s="763"/>
      <c r="AC2" s="765"/>
      <c r="AD2" s="764"/>
      <c r="AE2" s="763"/>
      <c r="AF2" s="765"/>
      <c r="AG2" s="764"/>
      <c r="AH2" s="763"/>
      <c r="AJ2" s="764"/>
      <c r="AK2" s="763"/>
      <c r="AM2" s="762"/>
      <c r="AP2" s="762"/>
      <c r="AS2" s="762"/>
      <c r="AV2" s="762"/>
      <c r="AY2" s="762"/>
      <c r="BB2" s="762"/>
      <c r="CJ2" s="761"/>
      <c r="DH2" s="761"/>
      <c r="DT2" s="761"/>
      <c r="ER2" s="761"/>
      <c r="EX2" s="761"/>
      <c r="FA2" s="761"/>
      <c r="FD2" s="761"/>
      <c r="FG2" s="761"/>
      <c r="FJ2" s="761"/>
      <c r="FM2" s="154"/>
      <c r="FP2" s="154" t="s">
        <v>144</v>
      </c>
    </row>
    <row r="3" spans="1:172" x14ac:dyDescent="0.35">
      <c r="A3" s="1350" t="s">
        <v>511</v>
      </c>
      <c r="B3" s="1352">
        <v>2012</v>
      </c>
      <c r="C3" s="1344"/>
      <c r="D3" s="1344"/>
      <c r="E3" s="1344"/>
      <c r="F3" s="1344"/>
      <c r="G3" s="1344"/>
      <c r="H3" s="1344"/>
      <c r="I3" s="1344"/>
      <c r="J3" s="1344"/>
      <c r="K3" s="1344"/>
      <c r="L3" s="1344"/>
      <c r="M3" s="1353"/>
      <c r="N3" s="1352">
        <v>2013</v>
      </c>
      <c r="O3" s="1344"/>
      <c r="P3" s="1344"/>
      <c r="Q3" s="1344"/>
      <c r="R3" s="1344"/>
      <c r="S3" s="1344"/>
      <c r="T3" s="1344"/>
      <c r="U3" s="1344"/>
      <c r="V3" s="1344"/>
      <c r="W3" s="1344"/>
      <c r="X3" s="1344"/>
      <c r="Y3" s="1353"/>
      <c r="Z3" s="1352">
        <v>2014</v>
      </c>
      <c r="AA3" s="1344"/>
      <c r="AB3" s="1344"/>
      <c r="AC3" s="1344"/>
      <c r="AD3" s="1344"/>
      <c r="AE3" s="1344"/>
      <c r="AF3" s="1344"/>
      <c r="AG3" s="1344"/>
      <c r="AH3" s="1344"/>
      <c r="AI3" s="1344"/>
      <c r="AJ3" s="1344"/>
      <c r="AK3" s="1353"/>
      <c r="AL3" s="1352">
        <v>2015</v>
      </c>
      <c r="AM3" s="1344"/>
      <c r="AN3" s="1344"/>
      <c r="AO3" s="1344"/>
      <c r="AP3" s="1344"/>
      <c r="AQ3" s="1344"/>
      <c r="AR3" s="1344"/>
      <c r="AS3" s="1344"/>
      <c r="AT3" s="1344"/>
      <c r="AU3" s="1344"/>
      <c r="AV3" s="1344"/>
      <c r="AW3" s="1344"/>
      <c r="AX3" s="1349">
        <v>2016</v>
      </c>
      <c r="AY3" s="1349"/>
      <c r="AZ3" s="1349"/>
      <c r="BA3" s="1349"/>
      <c r="BB3" s="1349"/>
      <c r="BC3" s="1349"/>
      <c r="BD3" s="1349"/>
      <c r="BE3" s="1349"/>
      <c r="BF3" s="1349"/>
      <c r="BG3" s="1349"/>
      <c r="BH3" s="1349"/>
      <c r="BI3" s="1349"/>
      <c r="BJ3" s="1343">
        <v>2017</v>
      </c>
      <c r="BK3" s="1344"/>
      <c r="BL3" s="1344"/>
      <c r="BM3" s="1344"/>
      <c r="BN3" s="1344"/>
      <c r="BO3" s="1344"/>
      <c r="BP3" s="1344"/>
      <c r="BQ3" s="1344"/>
      <c r="BR3" s="1344"/>
      <c r="BS3" s="1344"/>
      <c r="BT3" s="1344"/>
      <c r="BU3" s="1345"/>
      <c r="BV3" s="1343">
        <v>2018</v>
      </c>
      <c r="BW3" s="1344"/>
      <c r="BX3" s="1344"/>
      <c r="BY3" s="1344"/>
      <c r="BZ3" s="1344"/>
      <c r="CA3" s="1344"/>
      <c r="CB3" s="1344"/>
      <c r="CC3" s="1344"/>
      <c r="CD3" s="1344"/>
      <c r="CE3" s="1344"/>
      <c r="CF3" s="1344"/>
      <c r="CG3" s="1345"/>
      <c r="CH3" s="1343">
        <v>2019</v>
      </c>
      <c r="CI3" s="1344"/>
      <c r="CJ3" s="1344"/>
      <c r="CK3" s="1344"/>
      <c r="CL3" s="1344"/>
      <c r="CM3" s="1344"/>
      <c r="CN3" s="1344"/>
      <c r="CO3" s="1344"/>
      <c r="CP3" s="1344"/>
      <c r="CQ3" s="1344"/>
      <c r="CR3" s="1344"/>
      <c r="CS3" s="1345"/>
      <c r="CT3" s="1343">
        <v>2020</v>
      </c>
      <c r="CU3" s="1344"/>
      <c r="CV3" s="1344"/>
      <c r="CW3" s="1343">
        <v>2020</v>
      </c>
      <c r="CX3" s="1344"/>
      <c r="CY3" s="1344"/>
      <c r="CZ3" s="1343">
        <v>2020</v>
      </c>
      <c r="DA3" s="1344"/>
      <c r="DB3" s="1344"/>
      <c r="DC3" s="1343">
        <v>2020</v>
      </c>
      <c r="DD3" s="1344"/>
      <c r="DE3" s="1344"/>
      <c r="DF3" s="1343">
        <v>2021</v>
      </c>
      <c r="DG3" s="1344"/>
      <c r="DH3" s="1344"/>
      <c r="DI3" s="1343">
        <v>2021</v>
      </c>
      <c r="DJ3" s="1344"/>
      <c r="DK3" s="1344"/>
      <c r="DL3" s="1343">
        <v>2021</v>
      </c>
      <c r="DM3" s="1344"/>
      <c r="DN3" s="1345"/>
      <c r="DO3" s="1343">
        <v>2021</v>
      </c>
      <c r="DP3" s="1344"/>
      <c r="DQ3" s="1345"/>
      <c r="DR3" s="1343">
        <v>2022</v>
      </c>
      <c r="DS3" s="1344"/>
      <c r="DT3" s="1344"/>
      <c r="DU3" s="1343">
        <v>2022</v>
      </c>
      <c r="DV3" s="1344"/>
      <c r="DW3" s="1344"/>
      <c r="DX3" s="1343">
        <v>2022</v>
      </c>
      <c r="DY3" s="1344"/>
      <c r="DZ3" s="1344"/>
      <c r="EA3" s="1343">
        <v>2022</v>
      </c>
      <c r="EB3" s="1344"/>
      <c r="EC3" s="1344"/>
      <c r="ED3" s="1343">
        <v>2023</v>
      </c>
      <c r="EE3" s="1344"/>
      <c r="EF3" s="1344"/>
      <c r="EG3" s="1343">
        <v>2023</v>
      </c>
      <c r="EH3" s="1344"/>
      <c r="EI3" s="1344"/>
      <c r="EJ3" s="1343">
        <v>2023</v>
      </c>
      <c r="EK3" s="1344"/>
      <c r="EL3" s="1344"/>
      <c r="EM3" s="1343">
        <v>2023</v>
      </c>
      <c r="EN3" s="1344"/>
      <c r="EO3" s="1344"/>
      <c r="EP3" s="1343">
        <v>2024</v>
      </c>
      <c r="EQ3" s="1344"/>
      <c r="ER3" s="1345"/>
      <c r="ES3" s="1343">
        <v>2024</v>
      </c>
      <c r="ET3" s="1344"/>
      <c r="EU3" s="1345"/>
      <c r="EV3" s="1343">
        <v>2024</v>
      </c>
      <c r="EW3" s="1344"/>
      <c r="EX3" s="1345"/>
      <c r="EY3" s="1343">
        <v>2024</v>
      </c>
      <c r="EZ3" s="1344"/>
      <c r="FA3" s="1345"/>
      <c r="FB3" s="1343">
        <v>2025</v>
      </c>
      <c r="FC3" s="1344"/>
      <c r="FD3" s="1345"/>
      <c r="FE3" s="1343">
        <v>2025</v>
      </c>
      <c r="FF3" s="1344"/>
      <c r="FG3" s="1345"/>
      <c r="FH3" s="1343">
        <v>2025</v>
      </c>
      <c r="FI3" s="1344"/>
      <c r="FJ3" s="1345"/>
      <c r="FK3" s="1343">
        <v>2025</v>
      </c>
      <c r="FL3" s="1344"/>
      <c r="FM3" s="1345"/>
      <c r="FN3" s="1343">
        <v>2026</v>
      </c>
      <c r="FO3" s="1344"/>
      <c r="FP3" s="1345"/>
    </row>
    <row r="4" spans="1:172" ht="15" thickBot="1" x14ac:dyDescent="0.4">
      <c r="A4" s="1351"/>
      <c r="B4" s="760" t="s">
        <v>499</v>
      </c>
      <c r="C4" s="759"/>
      <c r="D4" s="758"/>
      <c r="E4" s="760" t="s">
        <v>498</v>
      </c>
      <c r="F4" s="759"/>
      <c r="G4" s="758"/>
      <c r="H4" s="760" t="s">
        <v>501</v>
      </c>
      <c r="I4" s="759"/>
      <c r="J4" s="758"/>
      <c r="K4" s="760" t="s">
        <v>500</v>
      </c>
      <c r="L4" s="759"/>
      <c r="M4" s="758"/>
      <c r="N4" s="760" t="s">
        <v>499</v>
      </c>
      <c r="O4" s="759"/>
      <c r="P4" s="758"/>
      <c r="Q4" s="1346" t="s">
        <v>498</v>
      </c>
      <c r="R4" s="1347"/>
      <c r="S4" s="1348"/>
      <c r="T4" s="1346" t="s">
        <v>501</v>
      </c>
      <c r="U4" s="1347"/>
      <c r="V4" s="1348"/>
      <c r="W4" s="1346" t="s">
        <v>500</v>
      </c>
      <c r="X4" s="1347"/>
      <c r="Y4" s="1348"/>
      <c r="Z4" s="1346" t="s">
        <v>495</v>
      </c>
      <c r="AA4" s="1347"/>
      <c r="AB4" s="1348"/>
      <c r="AC4" s="1346" t="s">
        <v>498</v>
      </c>
      <c r="AD4" s="1347"/>
      <c r="AE4" s="1348"/>
      <c r="AF4" s="1346" t="s">
        <v>501</v>
      </c>
      <c r="AG4" s="1347"/>
      <c r="AH4" s="1348"/>
      <c r="AI4" s="1346" t="s">
        <v>500</v>
      </c>
      <c r="AJ4" s="1347"/>
      <c r="AK4" s="1348"/>
      <c r="AL4" s="1346" t="s">
        <v>495</v>
      </c>
      <c r="AM4" s="1347"/>
      <c r="AN4" s="1348"/>
      <c r="AO4" s="1346" t="s">
        <v>498</v>
      </c>
      <c r="AP4" s="1347"/>
      <c r="AQ4" s="1348"/>
      <c r="AR4" s="1346" t="s">
        <v>501</v>
      </c>
      <c r="AS4" s="1347"/>
      <c r="AT4" s="1348"/>
      <c r="AU4" s="1346" t="s">
        <v>500</v>
      </c>
      <c r="AV4" s="1347"/>
      <c r="AW4" s="1348"/>
      <c r="AX4" s="1346" t="s">
        <v>499</v>
      </c>
      <c r="AY4" s="1347"/>
      <c r="AZ4" s="1348"/>
      <c r="BA4" s="1346" t="s">
        <v>498</v>
      </c>
      <c r="BB4" s="1347"/>
      <c r="BC4" s="1348"/>
      <c r="BD4" s="1346" t="s">
        <v>503</v>
      </c>
      <c r="BE4" s="1347"/>
      <c r="BF4" s="1348"/>
      <c r="BG4" s="1346" t="s">
        <v>502</v>
      </c>
      <c r="BH4" s="1347"/>
      <c r="BI4" s="1348"/>
      <c r="BJ4" s="1346" t="s">
        <v>495</v>
      </c>
      <c r="BK4" s="1347"/>
      <c r="BL4" s="1348"/>
      <c r="BM4" s="1346" t="s">
        <v>504</v>
      </c>
      <c r="BN4" s="1347"/>
      <c r="BO4" s="1348"/>
      <c r="BP4" s="1346" t="s">
        <v>501</v>
      </c>
      <c r="BQ4" s="1347"/>
      <c r="BR4" s="1348"/>
      <c r="BS4" s="1346" t="s">
        <v>500</v>
      </c>
      <c r="BT4" s="1347"/>
      <c r="BU4" s="1348"/>
      <c r="BV4" s="1346" t="s">
        <v>495</v>
      </c>
      <c r="BW4" s="1347"/>
      <c r="BX4" s="1348"/>
      <c r="BY4" s="1346" t="s">
        <v>504</v>
      </c>
      <c r="BZ4" s="1347"/>
      <c r="CA4" s="1348"/>
      <c r="CB4" s="1346" t="s">
        <v>503</v>
      </c>
      <c r="CC4" s="1347"/>
      <c r="CD4" s="1348"/>
      <c r="CE4" s="1346" t="s">
        <v>502</v>
      </c>
      <c r="CF4" s="1347"/>
      <c r="CG4" s="1348"/>
      <c r="CH4" s="1346" t="s">
        <v>495</v>
      </c>
      <c r="CI4" s="1347"/>
      <c r="CJ4" s="1348"/>
      <c r="CK4" s="1346" t="s">
        <v>498</v>
      </c>
      <c r="CL4" s="1347"/>
      <c r="CM4" s="1348"/>
      <c r="CN4" s="1346" t="s">
        <v>501</v>
      </c>
      <c r="CO4" s="1347"/>
      <c r="CP4" s="1348"/>
      <c r="CQ4" s="1346" t="s">
        <v>500</v>
      </c>
      <c r="CR4" s="1347"/>
      <c r="CS4" s="1348"/>
      <c r="CT4" s="1346" t="s">
        <v>499</v>
      </c>
      <c r="CU4" s="1347"/>
      <c r="CV4" s="1348"/>
      <c r="CW4" s="1346" t="s">
        <v>498</v>
      </c>
      <c r="CX4" s="1347"/>
      <c r="CY4" s="1348"/>
      <c r="CZ4" s="1346" t="s">
        <v>501</v>
      </c>
      <c r="DA4" s="1347"/>
      <c r="DB4" s="1348"/>
      <c r="DC4" s="1346" t="s">
        <v>500</v>
      </c>
      <c r="DD4" s="1347"/>
      <c r="DE4" s="1348"/>
      <c r="DF4" s="1346" t="s">
        <v>499</v>
      </c>
      <c r="DG4" s="1347"/>
      <c r="DH4" s="1348"/>
      <c r="DI4" s="1346" t="s">
        <v>498</v>
      </c>
      <c r="DJ4" s="1347"/>
      <c r="DK4" s="1348"/>
      <c r="DL4" s="1346" t="s">
        <v>501</v>
      </c>
      <c r="DM4" s="1347"/>
      <c r="DN4" s="1348"/>
      <c r="DO4" s="1346" t="s">
        <v>500</v>
      </c>
      <c r="DP4" s="1347"/>
      <c r="DQ4" s="1348"/>
      <c r="DR4" s="1346" t="s">
        <v>499</v>
      </c>
      <c r="DS4" s="1347"/>
      <c r="DT4" s="1348"/>
      <c r="DU4" s="1346" t="s">
        <v>498</v>
      </c>
      <c r="DV4" s="1347"/>
      <c r="DW4" s="1348"/>
      <c r="DX4" s="1346" t="s">
        <v>501</v>
      </c>
      <c r="DY4" s="1347"/>
      <c r="DZ4" s="1348"/>
      <c r="EA4" s="1346" t="s">
        <v>500</v>
      </c>
      <c r="EB4" s="1347"/>
      <c r="EC4" s="1348"/>
      <c r="ED4" s="1346" t="s">
        <v>499</v>
      </c>
      <c r="EE4" s="1347"/>
      <c r="EF4" s="1348"/>
      <c r="EG4" s="1346" t="s">
        <v>498</v>
      </c>
      <c r="EH4" s="1347"/>
      <c r="EI4" s="1348"/>
      <c r="EJ4" s="1346" t="s">
        <v>501</v>
      </c>
      <c r="EK4" s="1347"/>
      <c r="EL4" s="1348"/>
      <c r="EM4" s="1346" t="s">
        <v>500</v>
      </c>
      <c r="EN4" s="1347"/>
      <c r="EO4" s="1348"/>
      <c r="EP4" s="1346" t="s">
        <v>499</v>
      </c>
      <c r="EQ4" s="1347"/>
      <c r="ER4" s="1348"/>
      <c r="ES4" s="1346" t="s">
        <v>498</v>
      </c>
      <c r="ET4" s="1347"/>
      <c r="EU4" s="1348"/>
      <c r="EV4" s="1346" t="s">
        <v>497</v>
      </c>
      <c r="EW4" s="1347"/>
      <c r="EX4" s="1348"/>
      <c r="EY4" s="1346" t="s">
        <v>496</v>
      </c>
      <c r="EZ4" s="1347"/>
      <c r="FA4" s="1348"/>
      <c r="FB4" s="1346" t="s">
        <v>684</v>
      </c>
      <c r="FC4" s="1347"/>
      <c r="FD4" s="1348"/>
      <c r="FE4" s="1346" t="s">
        <v>494</v>
      </c>
      <c r="FF4" s="1347"/>
      <c r="FG4" s="1348"/>
      <c r="FH4" s="1346" t="s">
        <v>506</v>
      </c>
      <c r="FI4" s="1347"/>
      <c r="FJ4" s="1348"/>
      <c r="FK4" s="1346" t="s">
        <v>496</v>
      </c>
      <c r="FL4" s="1347"/>
      <c r="FM4" s="1348"/>
      <c r="FN4" s="1346" t="s">
        <v>900</v>
      </c>
      <c r="FO4" s="1347"/>
      <c r="FP4" s="1348"/>
    </row>
    <row r="5" spans="1:172" x14ac:dyDescent="0.35">
      <c r="A5" s="757"/>
      <c r="B5" s="756" t="s">
        <v>493</v>
      </c>
      <c r="C5" s="755" t="s">
        <v>492</v>
      </c>
      <c r="D5" s="754" t="s">
        <v>491</v>
      </c>
      <c r="E5" s="756" t="s">
        <v>493</v>
      </c>
      <c r="F5" s="755" t="s">
        <v>492</v>
      </c>
      <c r="G5" s="754" t="s">
        <v>491</v>
      </c>
      <c r="H5" s="756" t="s">
        <v>493</v>
      </c>
      <c r="I5" s="755" t="s">
        <v>492</v>
      </c>
      <c r="J5" s="754" t="s">
        <v>491</v>
      </c>
      <c r="K5" s="756" t="s">
        <v>493</v>
      </c>
      <c r="L5" s="755" t="s">
        <v>492</v>
      </c>
      <c r="M5" s="754" t="s">
        <v>491</v>
      </c>
      <c r="N5" s="756" t="s">
        <v>493</v>
      </c>
      <c r="O5" s="755" t="s">
        <v>492</v>
      </c>
      <c r="P5" s="754" t="s">
        <v>491</v>
      </c>
      <c r="Q5" s="756" t="s">
        <v>493</v>
      </c>
      <c r="R5" s="755" t="s">
        <v>492</v>
      </c>
      <c r="S5" s="754" t="s">
        <v>491</v>
      </c>
      <c r="T5" s="756" t="s">
        <v>493</v>
      </c>
      <c r="U5" s="755" t="s">
        <v>492</v>
      </c>
      <c r="V5" s="754" t="s">
        <v>491</v>
      </c>
      <c r="W5" s="756" t="s">
        <v>493</v>
      </c>
      <c r="X5" s="755" t="s">
        <v>492</v>
      </c>
      <c r="Y5" s="754" t="s">
        <v>491</v>
      </c>
      <c r="Z5" s="756" t="s">
        <v>493</v>
      </c>
      <c r="AA5" s="755" t="s">
        <v>492</v>
      </c>
      <c r="AB5" s="754" t="s">
        <v>491</v>
      </c>
      <c r="AC5" s="756" t="s">
        <v>493</v>
      </c>
      <c r="AD5" s="755" t="s">
        <v>492</v>
      </c>
      <c r="AE5" s="754" t="s">
        <v>491</v>
      </c>
      <c r="AF5" s="756" t="s">
        <v>493</v>
      </c>
      <c r="AG5" s="755" t="s">
        <v>492</v>
      </c>
      <c r="AH5" s="754" t="s">
        <v>491</v>
      </c>
      <c r="AI5" s="756" t="s">
        <v>493</v>
      </c>
      <c r="AJ5" s="755" t="s">
        <v>492</v>
      </c>
      <c r="AK5" s="754" t="s">
        <v>491</v>
      </c>
      <c r="AL5" s="756" t="s">
        <v>493</v>
      </c>
      <c r="AM5" s="755" t="s">
        <v>492</v>
      </c>
      <c r="AN5" s="754" t="s">
        <v>491</v>
      </c>
      <c r="AO5" s="756" t="s">
        <v>493</v>
      </c>
      <c r="AP5" s="755" t="s">
        <v>492</v>
      </c>
      <c r="AQ5" s="754" t="s">
        <v>491</v>
      </c>
      <c r="AR5" s="756" t="s">
        <v>493</v>
      </c>
      <c r="AS5" s="755" t="s">
        <v>492</v>
      </c>
      <c r="AT5" s="754" t="s">
        <v>491</v>
      </c>
      <c r="AU5" s="756" t="s">
        <v>493</v>
      </c>
      <c r="AV5" s="755" t="s">
        <v>492</v>
      </c>
      <c r="AW5" s="754" t="s">
        <v>491</v>
      </c>
      <c r="AX5" s="756" t="s">
        <v>493</v>
      </c>
      <c r="AY5" s="755" t="s">
        <v>492</v>
      </c>
      <c r="AZ5" s="754" t="s">
        <v>491</v>
      </c>
      <c r="BA5" s="756" t="s">
        <v>493</v>
      </c>
      <c r="BB5" s="755" t="s">
        <v>492</v>
      </c>
      <c r="BC5" s="754" t="s">
        <v>491</v>
      </c>
      <c r="BD5" s="756" t="s">
        <v>493</v>
      </c>
      <c r="BE5" s="755" t="s">
        <v>492</v>
      </c>
      <c r="BF5" s="754" t="s">
        <v>491</v>
      </c>
      <c r="BG5" s="756" t="s">
        <v>493</v>
      </c>
      <c r="BH5" s="755" t="s">
        <v>492</v>
      </c>
      <c r="BI5" s="754" t="s">
        <v>491</v>
      </c>
      <c r="BJ5" s="756" t="s">
        <v>493</v>
      </c>
      <c r="BK5" s="755" t="s">
        <v>492</v>
      </c>
      <c r="BL5" s="754" t="s">
        <v>491</v>
      </c>
      <c r="BM5" s="756" t="s">
        <v>493</v>
      </c>
      <c r="BN5" s="755" t="s">
        <v>492</v>
      </c>
      <c r="BO5" s="754" t="s">
        <v>491</v>
      </c>
      <c r="BP5" s="756" t="s">
        <v>493</v>
      </c>
      <c r="BQ5" s="755" t="s">
        <v>492</v>
      </c>
      <c r="BR5" s="754" t="s">
        <v>491</v>
      </c>
      <c r="BS5" s="756" t="s">
        <v>493</v>
      </c>
      <c r="BT5" s="755" t="s">
        <v>492</v>
      </c>
      <c r="BU5" s="754" t="s">
        <v>491</v>
      </c>
      <c r="BV5" s="756" t="s">
        <v>493</v>
      </c>
      <c r="BW5" s="755" t="s">
        <v>492</v>
      </c>
      <c r="BX5" s="754" t="s">
        <v>491</v>
      </c>
      <c r="BY5" s="756" t="s">
        <v>493</v>
      </c>
      <c r="BZ5" s="755" t="s">
        <v>492</v>
      </c>
      <c r="CA5" s="754" t="s">
        <v>491</v>
      </c>
      <c r="CB5" s="756" t="s">
        <v>493</v>
      </c>
      <c r="CC5" s="755" t="s">
        <v>492</v>
      </c>
      <c r="CD5" s="754" t="s">
        <v>491</v>
      </c>
      <c r="CE5" s="756" t="s">
        <v>493</v>
      </c>
      <c r="CF5" s="755" t="s">
        <v>492</v>
      </c>
      <c r="CG5" s="754" t="s">
        <v>491</v>
      </c>
      <c r="CH5" s="756" t="s">
        <v>493</v>
      </c>
      <c r="CI5" s="755" t="s">
        <v>492</v>
      </c>
      <c r="CJ5" s="754" t="s">
        <v>491</v>
      </c>
      <c r="CK5" s="756" t="s">
        <v>493</v>
      </c>
      <c r="CL5" s="755" t="s">
        <v>492</v>
      </c>
      <c r="CM5" s="754" t="s">
        <v>491</v>
      </c>
      <c r="CN5" s="756" t="s">
        <v>493</v>
      </c>
      <c r="CO5" s="755" t="s">
        <v>492</v>
      </c>
      <c r="CP5" s="754" t="s">
        <v>491</v>
      </c>
      <c r="CQ5" s="756" t="s">
        <v>493</v>
      </c>
      <c r="CR5" s="755" t="s">
        <v>492</v>
      </c>
      <c r="CS5" s="754" t="s">
        <v>491</v>
      </c>
      <c r="CT5" s="756" t="s">
        <v>493</v>
      </c>
      <c r="CU5" s="755" t="s">
        <v>492</v>
      </c>
      <c r="CV5" s="754" t="s">
        <v>491</v>
      </c>
      <c r="CW5" s="756" t="s">
        <v>493</v>
      </c>
      <c r="CX5" s="755" t="s">
        <v>492</v>
      </c>
      <c r="CY5" s="754" t="s">
        <v>491</v>
      </c>
      <c r="CZ5" s="756" t="s">
        <v>493</v>
      </c>
      <c r="DA5" s="755" t="s">
        <v>492</v>
      </c>
      <c r="DB5" s="754" t="s">
        <v>491</v>
      </c>
      <c r="DC5" s="756" t="s">
        <v>493</v>
      </c>
      <c r="DD5" s="755" t="s">
        <v>492</v>
      </c>
      <c r="DE5" s="754" t="s">
        <v>491</v>
      </c>
      <c r="DF5" s="756" t="s">
        <v>493</v>
      </c>
      <c r="DG5" s="755" t="s">
        <v>492</v>
      </c>
      <c r="DH5" s="754" t="s">
        <v>491</v>
      </c>
      <c r="DI5" s="756" t="s">
        <v>493</v>
      </c>
      <c r="DJ5" s="755" t="s">
        <v>492</v>
      </c>
      <c r="DK5" s="754" t="s">
        <v>491</v>
      </c>
      <c r="DL5" s="756" t="s">
        <v>493</v>
      </c>
      <c r="DM5" s="755" t="s">
        <v>492</v>
      </c>
      <c r="DN5" s="754" t="s">
        <v>491</v>
      </c>
      <c r="DO5" s="756" t="s">
        <v>493</v>
      </c>
      <c r="DP5" s="755" t="s">
        <v>492</v>
      </c>
      <c r="DQ5" s="754" t="s">
        <v>491</v>
      </c>
      <c r="DR5" s="756" t="s">
        <v>493</v>
      </c>
      <c r="DS5" s="755" t="s">
        <v>492</v>
      </c>
      <c r="DT5" s="754" t="s">
        <v>491</v>
      </c>
      <c r="DU5" s="756" t="s">
        <v>493</v>
      </c>
      <c r="DV5" s="755" t="s">
        <v>492</v>
      </c>
      <c r="DW5" s="754" t="s">
        <v>491</v>
      </c>
      <c r="DX5" s="756" t="s">
        <v>493</v>
      </c>
      <c r="DY5" s="755" t="s">
        <v>492</v>
      </c>
      <c r="DZ5" s="754" t="s">
        <v>491</v>
      </c>
      <c r="EA5" s="756" t="s">
        <v>493</v>
      </c>
      <c r="EB5" s="755" t="s">
        <v>492</v>
      </c>
      <c r="EC5" s="754" t="s">
        <v>491</v>
      </c>
      <c r="ED5" s="756" t="s">
        <v>493</v>
      </c>
      <c r="EE5" s="755" t="s">
        <v>492</v>
      </c>
      <c r="EF5" s="754" t="s">
        <v>491</v>
      </c>
      <c r="EG5" s="756" t="s">
        <v>493</v>
      </c>
      <c r="EH5" s="755" t="s">
        <v>492</v>
      </c>
      <c r="EI5" s="754" t="s">
        <v>491</v>
      </c>
      <c r="EJ5" s="756" t="s">
        <v>493</v>
      </c>
      <c r="EK5" s="755" t="s">
        <v>492</v>
      </c>
      <c r="EL5" s="754" t="s">
        <v>491</v>
      </c>
      <c r="EM5" s="756" t="s">
        <v>493</v>
      </c>
      <c r="EN5" s="755" t="s">
        <v>492</v>
      </c>
      <c r="EO5" s="754" t="s">
        <v>491</v>
      </c>
      <c r="EP5" s="756" t="s">
        <v>493</v>
      </c>
      <c r="EQ5" s="755" t="s">
        <v>492</v>
      </c>
      <c r="ER5" s="754" t="s">
        <v>491</v>
      </c>
      <c r="ES5" s="756" t="s">
        <v>493</v>
      </c>
      <c r="ET5" s="755" t="s">
        <v>492</v>
      </c>
      <c r="EU5" s="754" t="s">
        <v>491</v>
      </c>
      <c r="EV5" s="756" t="s">
        <v>493</v>
      </c>
      <c r="EW5" s="755" t="s">
        <v>492</v>
      </c>
      <c r="EX5" s="754" t="s">
        <v>491</v>
      </c>
      <c r="EY5" s="756" t="s">
        <v>493</v>
      </c>
      <c r="EZ5" s="755" t="s">
        <v>492</v>
      </c>
      <c r="FA5" s="754" t="s">
        <v>491</v>
      </c>
      <c r="FB5" s="756" t="s">
        <v>493</v>
      </c>
      <c r="FC5" s="755" t="s">
        <v>492</v>
      </c>
      <c r="FD5" s="754" t="s">
        <v>491</v>
      </c>
      <c r="FE5" s="756" t="s">
        <v>493</v>
      </c>
      <c r="FF5" s="755" t="s">
        <v>492</v>
      </c>
      <c r="FG5" s="754" t="s">
        <v>491</v>
      </c>
      <c r="FH5" s="756" t="s">
        <v>493</v>
      </c>
      <c r="FI5" s="755" t="s">
        <v>492</v>
      </c>
      <c r="FJ5" s="754" t="s">
        <v>491</v>
      </c>
      <c r="FK5" s="756" t="s">
        <v>493</v>
      </c>
      <c r="FL5" s="755" t="s">
        <v>492</v>
      </c>
      <c r="FM5" s="754" t="s">
        <v>491</v>
      </c>
      <c r="FN5" s="756" t="s">
        <v>493</v>
      </c>
      <c r="FO5" s="755" t="s">
        <v>492</v>
      </c>
      <c r="FP5" s="754" t="s">
        <v>491</v>
      </c>
    </row>
    <row r="6" spans="1:172" x14ac:dyDescent="0.35">
      <c r="A6" s="753"/>
      <c r="B6" s="752"/>
      <c r="C6" s="751"/>
      <c r="D6" s="748"/>
      <c r="E6" s="750"/>
      <c r="F6" s="749"/>
      <c r="G6" s="748"/>
      <c r="H6" s="750"/>
      <c r="I6" s="749"/>
      <c r="J6" s="748"/>
      <c r="K6" s="750"/>
      <c r="L6" s="749"/>
      <c r="M6" s="748"/>
      <c r="N6" s="750"/>
      <c r="O6" s="749"/>
      <c r="P6" s="748"/>
      <c r="Q6" s="750"/>
      <c r="R6" s="749"/>
      <c r="S6" s="748"/>
      <c r="T6" s="750"/>
      <c r="U6" s="749"/>
      <c r="V6" s="748"/>
      <c r="W6" s="750"/>
      <c r="X6" s="749"/>
      <c r="Y6" s="748"/>
      <c r="Z6" s="750"/>
      <c r="AA6" s="749"/>
      <c r="AB6" s="748"/>
      <c r="AC6" s="750"/>
      <c r="AD6" s="749"/>
      <c r="AE6" s="748"/>
      <c r="AF6" s="750"/>
      <c r="AG6" s="749"/>
      <c r="AH6" s="748"/>
      <c r="AI6" s="750"/>
      <c r="AJ6" s="749"/>
      <c r="AK6" s="748"/>
      <c r="AL6" s="750"/>
      <c r="AM6" s="749"/>
      <c r="AN6" s="748"/>
      <c r="AO6" s="750"/>
      <c r="AP6" s="749"/>
      <c r="AQ6" s="748"/>
      <c r="AR6" s="750"/>
      <c r="AS6" s="749"/>
      <c r="AT6" s="748"/>
      <c r="AU6" s="750"/>
      <c r="AV6" s="749"/>
      <c r="AW6" s="748"/>
      <c r="AX6" s="750"/>
      <c r="AY6" s="749"/>
      <c r="AZ6" s="748"/>
      <c r="BA6" s="750"/>
      <c r="BB6" s="749"/>
      <c r="BC6" s="748"/>
      <c r="BD6" s="750"/>
      <c r="BE6" s="749"/>
      <c r="BF6" s="748"/>
      <c r="BG6" s="750"/>
      <c r="BH6" s="749"/>
      <c r="BI6" s="748"/>
      <c r="BJ6" s="750"/>
      <c r="BK6" s="749"/>
      <c r="BL6" s="748"/>
      <c r="BM6" s="750"/>
      <c r="BN6" s="749"/>
      <c r="BO6" s="748"/>
      <c r="BP6" s="750"/>
      <c r="BQ6" s="749"/>
      <c r="BR6" s="748"/>
      <c r="BS6" s="750"/>
      <c r="BT6" s="749"/>
      <c r="BU6" s="748"/>
      <c r="BV6" s="750"/>
      <c r="BW6" s="749"/>
      <c r="BX6" s="748"/>
      <c r="BY6" s="750"/>
      <c r="BZ6" s="749"/>
      <c r="CA6" s="748"/>
      <c r="CB6" s="750"/>
      <c r="CC6" s="749"/>
      <c r="CD6" s="748"/>
      <c r="CE6" s="750"/>
      <c r="CF6" s="749"/>
      <c r="CG6" s="748"/>
      <c r="CH6" s="750"/>
      <c r="CI6" s="749"/>
      <c r="CJ6" s="748"/>
      <c r="CK6" s="750"/>
      <c r="CL6" s="749"/>
      <c r="CM6" s="748"/>
      <c r="CN6" s="750"/>
      <c r="CO6" s="749"/>
      <c r="CP6" s="748"/>
      <c r="CQ6" s="750"/>
      <c r="CR6" s="749"/>
      <c r="CS6" s="748"/>
      <c r="CT6" s="750"/>
      <c r="CU6" s="749"/>
      <c r="CV6" s="748"/>
      <c r="CW6" s="750"/>
      <c r="CX6" s="749"/>
      <c r="CY6" s="748"/>
      <c r="CZ6" s="750"/>
      <c r="DA6" s="749"/>
      <c r="DB6" s="748"/>
      <c r="DC6" s="750"/>
      <c r="DD6" s="749"/>
      <c r="DE6" s="748"/>
      <c r="DF6" s="750"/>
      <c r="DG6" s="749"/>
      <c r="DH6" s="748"/>
      <c r="DI6" s="750"/>
      <c r="DJ6" s="749"/>
      <c r="DK6" s="748"/>
      <c r="DL6" s="750"/>
      <c r="DM6" s="749"/>
      <c r="DN6" s="748"/>
      <c r="DO6" s="750"/>
      <c r="DP6" s="749"/>
      <c r="DQ6" s="748"/>
      <c r="DR6" s="750"/>
      <c r="DS6" s="749"/>
      <c r="DT6" s="748"/>
      <c r="DU6" s="750"/>
      <c r="DV6" s="749"/>
      <c r="DW6" s="748"/>
      <c r="DX6" s="750"/>
      <c r="DY6" s="749"/>
      <c r="DZ6" s="748"/>
      <c r="EA6" s="750"/>
      <c r="EB6" s="749"/>
      <c r="EC6" s="748"/>
      <c r="ED6" s="750"/>
      <c r="EE6" s="749"/>
      <c r="EF6" s="748"/>
      <c r="EG6" s="750"/>
      <c r="EH6" s="749"/>
      <c r="EI6" s="748"/>
      <c r="EJ6" s="750"/>
      <c r="EK6" s="749"/>
      <c r="EL6" s="748"/>
      <c r="EM6" s="750"/>
      <c r="EN6" s="749"/>
      <c r="EO6" s="748"/>
      <c r="EP6" s="750"/>
      <c r="EQ6" s="749"/>
      <c r="ER6" s="748"/>
      <c r="ES6" s="750"/>
      <c r="ET6" s="749"/>
      <c r="EU6" s="748"/>
      <c r="EV6" s="750"/>
      <c r="EW6" s="749"/>
      <c r="EX6" s="748"/>
      <c r="EY6" s="750"/>
      <c r="EZ6" s="749"/>
      <c r="FA6" s="748"/>
      <c r="FB6" s="750"/>
      <c r="FC6" s="749"/>
      <c r="FD6" s="748"/>
      <c r="FE6" s="750"/>
      <c r="FF6" s="749"/>
      <c r="FG6" s="748"/>
      <c r="FH6" s="750"/>
      <c r="FI6" s="749"/>
      <c r="FJ6" s="748"/>
      <c r="FK6" s="750"/>
      <c r="FL6" s="749"/>
      <c r="FM6" s="748"/>
      <c r="FN6" s="750"/>
      <c r="FO6" s="749"/>
      <c r="FP6" s="748"/>
    </row>
    <row r="7" spans="1:172" x14ac:dyDescent="0.35">
      <c r="A7" s="730" t="s">
        <v>487</v>
      </c>
      <c r="B7" s="744">
        <v>31.7</v>
      </c>
      <c r="C7" s="736">
        <v>1238.5999999999999</v>
      </c>
      <c r="D7" s="733">
        <v>11.226321036889331</v>
      </c>
      <c r="E7" s="742">
        <v>30</v>
      </c>
      <c r="F7" s="736">
        <v>1169.2</v>
      </c>
      <c r="G7" s="733">
        <v>11.199233716475096</v>
      </c>
      <c r="H7" s="742">
        <v>29.973333333333301</v>
      </c>
      <c r="I7" s="736">
        <v>1169.2</v>
      </c>
      <c r="J7" s="733">
        <v>10.996990218209181</v>
      </c>
      <c r="K7" s="742">
        <v>28.7667844522968</v>
      </c>
      <c r="L7" s="736">
        <v>1097.0999999999999</v>
      </c>
      <c r="M7" s="733">
        <v>9.7641509433962259</v>
      </c>
      <c r="N7" s="742">
        <v>28.8</v>
      </c>
      <c r="O7" s="736">
        <v>1097.0999999999999</v>
      </c>
      <c r="P7" s="733">
        <v>9.4929479968850039</v>
      </c>
      <c r="Q7" s="742">
        <v>26.5</v>
      </c>
      <c r="R7" s="736">
        <v>1024.5</v>
      </c>
      <c r="S7" s="733">
        <v>9.9649839509775315</v>
      </c>
      <c r="T7" s="742">
        <v>26.5</v>
      </c>
      <c r="U7" s="736">
        <v>1024.5</v>
      </c>
      <c r="V7" s="733">
        <v>10.309952702022743</v>
      </c>
      <c r="W7" s="742">
        <v>39.729999999999997</v>
      </c>
      <c r="X7" s="736">
        <v>1668.2</v>
      </c>
      <c r="Y7" s="733">
        <v>13.802746979976831</v>
      </c>
      <c r="Z7" s="742">
        <v>39.729999999999997</v>
      </c>
      <c r="AA7" s="736">
        <v>1663.6</v>
      </c>
      <c r="AB7" s="733">
        <v>15.158086560364465</v>
      </c>
      <c r="AC7" s="742">
        <v>38</v>
      </c>
      <c r="AD7" s="736">
        <v>1587.2</v>
      </c>
      <c r="AE7" s="733">
        <v>16.776948607910704</v>
      </c>
      <c r="AF7" s="742">
        <v>38</v>
      </c>
      <c r="AG7" s="736">
        <v>1532</v>
      </c>
      <c r="AH7" s="733">
        <v>16.440061381952418</v>
      </c>
      <c r="AI7" s="742">
        <v>21.2</v>
      </c>
      <c r="AJ7" s="736">
        <v>827.8</v>
      </c>
      <c r="AK7" s="733">
        <v>8.3726951825142368</v>
      </c>
      <c r="AL7" s="742">
        <v>21.2</v>
      </c>
      <c r="AM7" s="736">
        <v>844.7</v>
      </c>
      <c r="AN7" s="733">
        <v>8.958532187930853</v>
      </c>
      <c r="AO7" s="742">
        <v>19.399999999999999</v>
      </c>
      <c r="AP7" s="736">
        <v>777</v>
      </c>
      <c r="AQ7" s="733">
        <v>6.2007709066532604</v>
      </c>
      <c r="AR7" s="742">
        <v>19.399999999999999</v>
      </c>
      <c r="AS7" s="736">
        <v>790.9</v>
      </c>
      <c r="AT7" s="733">
        <v>6.5178873111757589</v>
      </c>
      <c r="AU7" s="742">
        <v>17.7</v>
      </c>
      <c r="AV7" s="736">
        <v>705.3</v>
      </c>
      <c r="AW7" s="733">
        <v>6.1036926778188363</v>
      </c>
      <c r="AX7" s="742">
        <v>17.7</v>
      </c>
      <c r="AY7" s="736">
        <v>719.9</v>
      </c>
      <c r="AZ7" s="733">
        <v>6.6927596593655867</v>
      </c>
      <c r="BA7" s="742">
        <v>15.8</v>
      </c>
      <c r="BB7" s="736">
        <v>643.9</v>
      </c>
      <c r="BC7" s="733">
        <v>6.0159016378126378</v>
      </c>
      <c r="BD7" s="742">
        <v>15.8</v>
      </c>
      <c r="BE7" s="736">
        <v>647.5</v>
      </c>
      <c r="BF7" s="733">
        <v>6.2754409769335151</v>
      </c>
      <c r="BG7" s="747">
        <v>0</v>
      </c>
      <c r="BH7" s="746">
        <v>0</v>
      </c>
      <c r="BI7" s="745">
        <v>0</v>
      </c>
      <c r="BJ7" s="747">
        <v>0</v>
      </c>
      <c r="BK7" s="746">
        <v>0</v>
      </c>
      <c r="BL7" s="745">
        <v>0</v>
      </c>
      <c r="BM7" s="747">
        <v>0</v>
      </c>
      <c r="BN7" s="746">
        <v>0</v>
      </c>
      <c r="BO7" s="745">
        <v>0</v>
      </c>
      <c r="BP7" s="747">
        <v>0</v>
      </c>
      <c r="BQ7" s="746">
        <v>0</v>
      </c>
      <c r="BR7" s="745">
        <v>0</v>
      </c>
      <c r="BS7" s="747">
        <v>0</v>
      </c>
      <c r="BT7" s="746">
        <v>0</v>
      </c>
      <c r="BU7" s="745">
        <v>0</v>
      </c>
      <c r="BV7" s="747">
        <v>0</v>
      </c>
      <c r="BW7" s="746">
        <v>0</v>
      </c>
      <c r="BX7" s="745">
        <v>0</v>
      </c>
      <c r="BY7" s="747">
        <v>0</v>
      </c>
      <c r="BZ7" s="746">
        <v>0</v>
      </c>
      <c r="CA7" s="745">
        <v>0</v>
      </c>
      <c r="CB7" s="747">
        <v>0</v>
      </c>
      <c r="CC7" s="746">
        <v>0</v>
      </c>
      <c r="CD7" s="745">
        <v>0</v>
      </c>
      <c r="CE7" s="747">
        <v>0</v>
      </c>
      <c r="CF7" s="746">
        <v>0</v>
      </c>
      <c r="CG7" s="745">
        <v>0</v>
      </c>
      <c r="CH7" s="742">
        <v>10.5</v>
      </c>
      <c r="CI7" s="736">
        <v>416.7</v>
      </c>
      <c r="CJ7" s="733">
        <v>1.7722940298317023</v>
      </c>
      <c r="CK7" s="743">
        <v>28.7</v>
      </c>
      <c r="CL7" s="738">
        <v>1174.0999999999999</v>
      </c>
      <c r="CM7" s="733">
        <v>5.1180450210109667</v>
      </c>
      <c r="CN7" s="742">
        <v>38.799999999999997</v>
      </c>
      <c r="CO7" s="736">
        <v>1567.7</v>
      </c>
      <c r="CP7" s="733">
        <v>6.8119109589338711</v>
      </c>
      <c r="CQ7" s="742">
        <v>13.4</v>
      </c>
      <c r="CR7" s="736">
        <v>553.1</v>
      </c>
      <c r="CS7" s="733">
        <v>3.167122848406418</v>
      </c>
      <c r="CT7" s="742">
        <v>8.9</v>
      </c>
      <c r="CU7" s="736">
        <v>390</v>
      </c>
      <c r="CV7" s="733">
        <v>2.1953649653526375</v>
      </c>
      <c r="CW7" s="743">
        <v>8.9</v>
      </c>
      <c r="CX7" s="738">
        <v>407</v>
      </c>
      <c r="CY7" s="733">
        <v>2.300734878462408</v>
      </c>
      <c r="CZ7" s="742">
        <v>8.9</v>
      </c>
      <c r="DA7" s="736">
        <v>422</v>
      </c>
      <c r="DB7" s="733">
        <v>3.7861116095460257</v>
      </c>
      <c r="DC7" s="742">
        <v>8.9</v>
      </c>
      <c r="DD7" s="736">
        <v>437</v>
      </c>
      <c r="DE7" s="733">
        <v>3.6824808291901912</v>
      </c>
      <c r="DF7" s="741">
        <v>8.9</v>
      </c>
      <c r="DG7" s="734">
        <v>427.06</v>
      </c>
      <c r="DH7" s="733">
        <v>3.2158035668567257</v>
      </c>
      <c r="DI7" s="741">
        <v>8.9</v>
      </c>
      <c r="DJ7" s="734">
        <v>457.1</v>
      </c>
      <c r="DK7" s="733">
        <v>3.2768199577045776</v>
      </c>
      <c r="DL7" s="741">
        <v>8.9</v>
      </c>
      <c r="DM7" s="734">
        <v>446</v>
      </c>
      <c r="DN7" s="733">
        <v>3.1350165888770176</v>
      </c>
      <c r="DO7" s="741">
        <v>0</v>
      </c>
      <c r="DP7" s="734">
        <v>0</v>
      </c>
      <c r="DQ7" s="733">
        <v>0</v>
      </c>
      <c r="DR7" s="741">
        <v>0</v>
      </c>
      <c r="DS7" s="734">
        <v>0</v>
      </c>
      <c r="DT7" s="733">
        <v>0</v>
      </c>
      <c r="DU7" s="741">
        <v>0</v>
      </c>
      <c r="DV7" s="734">
        <v>0</v>
      </c>
      <c r="DW7" s="733">
        <v>0</v>
      </c>
      <c r="DX7" s="741">
        <v>0</v>
      </c>
      <c r="DY7" s="734">
        <v>0</v>
      </c>
      <c r="DZ7" s="733">
        <v>0</v>
      </c>
      <c r="EA7" s="741">
        <v>0</v>
      </c>
      <c r="EB7" s="734">
        <v>0</v>
      </c>
      <c r="EC7" s="733">
        <v>0</v>
      </c>
      <c r="ED7" s="741">
        <v>0</v>
      </c>
      <c r="EE7" s="734">
        <v>0</v>
      </c>
      <c r="EF7" s="733">
        <v>0</v>
      </c>
      <c r="EG7" s="741">
        <v>0</v>
      </c>
      <c r="EH7" s="734">
        <v>0</v>
      </c>
      <c r="EI7" s="733">
        <v>0</v>
      </c>
      <c r="EJ7" s="741">
        <v>0</v>
      </c>
      <c r="EK7" s="734">
        <v>0</v>
      </c>
      <c r="EL7" s="733">
        <v>0</v>
      </c>
      <c r="EM7" s="741">
        <v>0</v>
      </c>
      <c r="EN7" s="734">
        <v>0</v>
      </c>
      <c r="EO7" s="733">
        <v>0</v>
      </c>
      <c r="EP7" s="741">
        <v>0</v>
      </c>
      <c r="EQ7" s="734">
        <v>0</v>
      </c>
      <c r="ER7" s="733">
        <v>0</v>
      </c>
      <c r="ES7" s="741">
        <v>0</v>
      </c>
      <c r="ET7" s="734">
        <v>0</v>
      </c>
      <c r="EU7" s="733">
        <v>0</v>
      </c>
      <c r="EV7" s="741">
        <v>0</v>
      </c>
      <c r="EW7" s="734">
        <v>0</v>
      </c>
      <c r="EX7" s="733">
        <v>0</v>
      </c>
      <c r="EY7" s="741">
        <v>0</v>
      </c>
      <c r="EZ7" s="734">
        <v>0</v>
      </c>
      <c r="FA7" s="733">
        <v>0</v>
      </c>
      <c r="FB7" s="741">
        <v>0</v>
      </c>
      <c r="FC7" s="734">
        <v>0</v>
      </c>
      <c r="FD7" s="733">
        <v>0</v>
      </c>
      <c r="FE7" s="741">
        <v>0</v>
      </c>
      <c r="FF7" s="734">
        <v>0</v>
      </c>
      <c r="FG7" s="733">
        <v>0</v>
      </c>
      <c r="FH7" s="741">
        <v>0</v>
      </c>
      <c r="FI7" s="734">
        <v>0</v>
      </c>
      <c r="FJ7" s="733">
        <v>0</v>
      </c>
      <c r="FK7" s="741">
        <v>0</v>
      </c>
      <c r="FL7" s="734">
        <v>0</v>
      </c>
      <c r="FM7" s="733">
        <v>0</v>
      </c>
      <c r="FN7" s="741">
        <v>0</v>
      </c>
      <c r="FO7" s="734">
        <v>0</v>
      </c>
      <c r="FP7" s="733">
        <v>0</v>
      </c>
    </row>
    <row r="8" spans="1:172" x14ac:dyDescent="0.35">
      <c r="A8" s="730" t="s">
        <v>490</v>
      </c>
      <c r="B8" s="744">
        <v>15.8</v>
      </c>
      <c r="C8" s="736">
        <v>470.6</v>
      </c>
      <c r="D8" s="733">
        <v>4.2653856611982244</v>
      </c>
      <c r="E8" s="742">
        <v>16.3</v>
      </c>
      <c r="F8" s="736">
        <v>513</v>
      </c>
      <c r="G8" s="733">
        <v>4.9137931034482758</v>
      </c>
      <c r="H8" s="742">
        <v>26.3</v>
      </c>
      <c r="I8" s="736">
        <v>817.6</v>
      </c>
      <c r="J8" s="733">
        <v>7.6899924755455231</v>
      </c>
      <c r="K8" s="742">
        <v>49.2</v>
      </c>
      <c r="L8" s="736">
        <v>1523.8</v>
      </c>
      <c r="M8" s="733">
        <v>13.561765752936989</v>
      </c>
      <c r="N8" s="742">
        <v>60.3</v>
      </c>
      <c r="O8" s="736">
        <v>1893.7</v>
      </c>
      <c r="P8" s="733">
        <v>16.385740244007959</v>
      </c>
      <c r="Q8" s="742">
        <v>48.9</v>
      </c>
      <c r="R8" s="736">
        <v>1338.9</v>
      </c>
      <c r="S8" s="733">
        <v>13.023052232273127</v>
      </c>
      <c r="T8" s="742">
        <v>49.1</v>
      </c>
      <c r="U8" s="736">
        <v>1528.5</v>
      </c>
      <c r="V8" s="733">
        <v>15.381906007849452</v>
      </c>
      <c r="W8" s="742">
        <v>84.8</v>
      </c>
      <c r="X8" s="736">
        <v>2600.5</v>
      </c>
      <c r="Y8" s="733">
        <v>21.516630812510343</v>
      </c>
      <c r="Z8" s="742">
        <v>54</v>
      </c>
      <c r="AA8" s="736">
        <v>1652.5</v>
      </c>
      <c r="AB8" s="733">
        <v>15.056947608200455</v>
      </c>
      <c r="AC8" s="742">
        <v>9.5</v>
      </c>
      <c r="AD8" s="736">
        <v>294.3</v>
      </c>
      <c r="AE8" s="733">
        <v>3.1107963554108617</v>
      </c>
      <c r="AF8" s="742">
        <v>9.5</v>
      </c>
      <c r="AG8" s="736">
        <v>304.10000000000002</v>
      </c>
      <c r="AH8" s="733">
        <v>3.2633307220964296</v>
      </c>
      <c r="AI8" s="742">
        <v>40</v>
      </c>
      <c r="AJ8" s="736">
        <v>1283.8</v>
      </c>
      <c r="AK8" s="733">
        <v>12.98485875249067</v>
      </c>
      <c r="AL8" s="742">
        <v>47.5</v>
      </c>
      <c r="AM8" s="736">
        <v>1748.3</v>
      </c>
      <c r="AN8" s="733">
        <v>18.541732951532506</v>
      </c>
      <c r="AO8" s="742">
        <v>52</v>
      </c>
      <c r="AP8" s="736">
        <v>1853.4</v>
      </c>
      <c r="AQ8" s="733">
        <v>14.790873614403028</v>
      </c>
      <c r="AR8" s="742">
        <v>53.5</v>
      </c>
      <c r="AS8" s="736">
        <v>1928.3</v>
      </c>
      <c r="AT8" s="733">
        <v>15.891316351169827</v>
      </c>
      <c r="AU8" s="742">
        <v>25.4</v>
      </c>
      <c r="AV8" s="736">
        <v>927</v>
      </c>
      <c r="AW8" s="733">
        <v>8.02229280070617</v>
      </c>
      <c r="AX8" s="742">
        <v>26.4</v>
      </c>
      <c r="AY8" s="736">
        <v>951</v>
      </c>
      <c r="AZ8" s="733">
        <v>8.8412480011899905</v>
      </c>
      <c r="BA8" s="742">
        <v>43</v>
      </c>
      <c r="BB8" s="736">
        <v>1565.8</v>
      </c>
      <c r="BC8" s="733">
        <v>14.62913307110891</v>
      </c>
      <c r="BD8" s="742">
        <v>42.8</v>
      </c>
      <c r="BE8" s="736">
        <v>1551.4</v>
      </c>
      <c r="BF8" s="733">
        <v>15.035859662725334</v>
      </c>
      <c r="BG8" s="742">
        <v>47.4</v>
      </c>
      <c r="BH8" s="736">
        <v>1743.3</v>
      </c>
      <c r="BI8" s="733">
        <v>18.123882396972597</v>
      </c>
      <c r="BJ8" s="742">
        <v>55.4</v>
      </c>
      <c r="BK8" s="736">
        <v>2015.9</v>
      </c>
      <c r="BL8" s="733">
        <v>15.971319917604184</v>
      </c>
      <c r="BM8" s="742">
        <v>45.4</v>
      </c>
      <c r="BN8" s="736">
        <v>1611.2</v>
      </c>
      <c r="BO8" s="733">
        <v>13.47269838615269</v>
      </c>
      <c r="BP8" s="742">
        <v>50.3</v>
      </c>
      <c r="BQ8" s="736">
        <v>1719.7</v>
      </c>
      <c r="BR8" s="733">
        <v>9.4223425180672074</v>
      </c>
      <c r="BS8" s="742">
        <v>32.200000000000003</v>
      </c>
      <c r="BT8" s="736">
        <v>1094.9000000000001</v>
      </c>
      <c r="BU8" s="733">
        <v>6.2860259501664943</v>
      </c>
      <c r="BV8" s="742">
        <v>51.04</v>
      </c>
      <c r="BW8" s="736">
        <v>1716.4</v>
      </c>
      <c r="BX8" s="733">
        <v>9.6492017090173157</v>
      </c>
      <c r="BY8" s="742">
        <v>23.9</v>
      </c>
      <c r="BZ8" s="736">
        <v>835.7</v>
      </c>
      <c r="CA8" s="733">
        <v>4.9048896297122333</v>
      </c>
      <c r="CB8" s="742">
        <v>33.4</v>
      </c>
      <c r="CC8" s="736">
        <v>1149</v>
      </c>
      <c r="CD8" s="733">
        <v>6.5521980371918502</v>
      </c>
      <c r="CE8" s="742">
        <v>119.8</v>
      </c>
      <c r="CF8" s="736">
        <v>4164.6000000000004</v>
      </c>
      <c r="CG8" s="733">
        <v>17.088132352398109</v>
      </c>
      <c r="CH8" s="742">
        <v>78</v>
      </c>
      <c r="CI8" s="736">
        <v>2744.9</v>
      </c>
      <c r="CJ8" s="733">
        <v>11.674513756863547</v>
      </c>
      <c r="CK8" s="743">
        <v>48.6</v>
      </c>
      <c r="CL8" s="738">
        <v>1748.8</v>
      </c>
      <c r="CM8" s="733">
        <v>7.6232323760701632</v>
      </c>
      <c r="CN8" s="742">
        <v>49.8</v>
      </c>
      <c r="CO8" s="736">
        <v>1830.8</v>
      </c>
      <c r="CP8" s="733">
        <v>7.9551231636257764</v>
      </c>
      <c r="CQ8" s="742">
        <v>27.4</v>
      </c>
      <c r="CR8" s="736">
        <v>1009.7</v>
      </c>
      <c r="CS8" s="733">
        <v>5.7816740915493767</v>
      </c>
      <c r="CT8" s="742">
        <v>34.6</v>
      </c>
      <c r="CU8" s="736">
        <v>1374.7</v>
      </c>
      <c r="CV8" s="733">
        <v>7.7383800458212066</v>
      </c>
      <c r="CW8" s="743">
        <v>21.3</v>
      </c>
      <c r="CX8" s="738">
        <v>864</v>
      </c>
      <c r="CY8" s="733">
        <v>4.884115319389486</v>
      </c>
      <c r="CZ8" s="742">
        <v>21.3</v>
      </c>
      <c r="DA8" s="736">
        <v>860</v>
      </c>
      <c r="DB8" s="733">
        <v>7.7157724744302891</v>
      </c>
      <c r="DC8" s="742">
        <v>21.3</v>
      </c>
      <c r="DD8" s="736">
        <v>850</v>
      </c>
      <c r="DE8" s="733">
        <v>7.1627201483104406</v>
      </c>
      <c r="DF8" s="741">
        <v>35.56</v>
      </c>
      <c r="DG8" s="734">
        <v>1454.62</v>
      </c>
      <c r="DH8" s="733">
        <v>10.953430863160049</v>
      </c>
      <c r="DI8" s="741">
        <v>35.58</v>
      </c>
      <c r="DJ8" s="734">
        <v>1531.4</v>
      </c>
      <c r="DK8" s="733">
        <v>10.978171260618661</v>
      </c>
      <c r="DL8" s="741">
        <v>35.58</v>
      </c>
      <c r="DM8" s="734">
        <v>1532.4</v>
      </c>
      <c r="DN8" s="733">
        <v>10.771523365011529</v>
      </c>
      <c r="DO8" s="741">
        <v>15.6</v>
      </c>
      <c r="DP8" s="734">
        <v>686</v>
      </c>
      <c r="DQ8" s="733">
        <v>5.0019687048838462</v>
      </c>
      <c r="DR8" s="741">
        <v>108.4</v>
      </c>
      <c r="DS8" s="734">
        <v>4861.33</v>
      </c>
      <c r="DT8" s="733">
        <v>25.186502691783414</v>
      </c>
      <c r="DU8" s="741">
        <v>198.25</v>
      </c>
      <c r="DV8" s="734">
        <v>9083.7199999999993</v>
      </c>
      <c r="DW8" s="733">
        <v>36.840194848621636</v>
      </c>
      <c r="DX8" s="741">
        <v>287.97000000000003</v>
      </c>
      <c r="DY8" s="734">
        <v>13122.33</v>
      </c>
      <c r="DZ8" s="733">
        <v>44.260496931491041</v>
      </c>
      <c r="EA8" s="741">
        <v>295.60000000000002</v>
      </c>
      <c r="EB8" s="734">
        <v>13372.76</v>
      </c>
      <c r="EC8" s="733">
        <v>41.781048753450833</v>
      </c>
      <c r="ED8" s="741">
        <v>241.50800000000001</v>
      </c>
      <c r="EE8" s="734">
        <v>11111.05</v>
      </c>
      <c r="EF8" s="733">
        <v>36.883129040246274</v>
      </c>
      <c r="EG8" s="741">
        <v>309.45000000000005</v>
      </c>
      <c r="EH8" s="734">
        <v>14230.33</v>
      </c>
      <c r="EI8" s="733">
        <v>42.663425161003474</v>
      </c>
      <c r="EJ8" s="741">
        <v>309.94</v>
      </c>
      <c r="EK8" s="734">
        <v>13922</v>
      </c>
      <c r="EL8" s="733">
        <v>42.08203609104374</v>
      </c>
      <c r="EM8" s="741">
        <v>235.6</v>
      </c>
      <c r="EN8" s="734">
        <v>10476.459999999999</v>
      </c>
      <c r="EO8" s="733">
        <v>33.722300869801451</v>
      </c>
      <c r="EP8" s="741">
        <v>226.3586</v>
      </c>
      <c r="EQ8" s="734">
        <v>10615.569999999998</v>
      </c>
      <c r="ER8" s="733">
        <v>34.262010424903572</v>
      </c>
      <c r="ES8" s="741">
        <v>209.9</v>
      </c>
      <c r="ET8" s="734">
        <v>9988.23</v>
      </c>
      <c r="EU8" s="733">
        <v>27.369865288449763</v>
      </c>
      <c r="EV8" s="741">
        <v>202.93600000000001</v>
      </c>
      <c r="EW8" s="734">
        <v>9405.6299999999992</v>
      </c>
      <c r="EX8" s="733">
        <v>26.640331184688826</v>
      </c>
      <c r="EY8" s="741">
        <v>268.18700000000001</v>
      </c>
      <c r="EZ8" s="734">
        <v>12734.05</v>
      </c>
      <c r="FA8" s="733">
        <v>31.267571672781507</v>
      </c>
      <c r="FB8" s="741">
        <v>319</v>
      </c>
      <c r="FC8" s="734">
        <v>14700.47</v>
      </c>
      <c r="FD8" s="733">
        <v>34.793814188984491</v>
      </c>
      <c r="FE8" s="741">
        <v>221.92</v>
      </c>
      <c r="FF8" s="734">
        <v>10094</v>
      </c>
      <c r="FG8" s="733">
        <v>27.328351743556421</v>
      </c>
      <c r="FH8" s="741">
        <v>184.8</v>
      </c>
      <c r="FI8" s="734">
        <v>8517</v>
      </c>
      <c r="FJ8" s="733">
        <v>23.513983600673644</v>
      </c>
      <c r="FK8" s="741">
        <v>169.02075546203488</v>
      </c>
      <c r="FL8" s="734">
        <v>7812</v>
      </c>
      <c r="FM8" s="733">
        <v>22.646491228833053</v>
      </c>
      <c r="FN8" s="741">
        <v>205.63196406547519</v>
      </c>
      <c r="FO8" s="734">
        <v>9686.89</v>
      </c>
      <c r="FP8" s="733">
        <v>25.917406892123285</v>
      </c>
    </row>
    <row r="9" spans="1:172" x14ac:dyDescent="0.35">
      <c r="A9" s="730" t="s">
        <v>517</v>
      </c>
      <c r="B9" s="740" t="s">
        <v>368</v>
      </c>
      <c r="C9" s="736">
        <v>9323.7999999999993</v>
      </c>
      <c r="D9" s="733">
        <v>84.508293301912445</v>
      </c>
      <c r="E9" s="737" t="s">
        <v>368</v>
      </c>
      <c r="F9" s="736">
        <v>8757.7999999999993</v>
      </c>
      <c r="G9" s="733">
        <v>83.886973180076623</v>
      </c>
      <c r="H9" s="737" t="s">
        <v>368</v>
      </c>
      <c r="I9" s="736">
        <v>8645.2000000000007</v>
      </c>
      <c r="J9" s="733">
        <v>81.3130173062453</v>
      </c>
      <c r="K9" s="737" t="s">
        <v>368</v>
      </c>
      <c r="L9" s="736">
        <v>8615.1</v>
      </c>
      <c r="M9" s="733">
        <v>76.674083303666791</v>
      </c>
      <c r="N9" s="737" t="s">
        <v>368</v>
      </c>
      <c r="O9" s="736">
        <v>8566.2000000000007</v>
      </c>
      <c r="P9" s="733">
        <v>74.121311759107044</v>
      </c>
      <c r="Q9" s="737" t="s">
        <v>368</v>
      </c>
      <c r="R9" s="736">
        <v>7917.6</v>
      </c>
      <c r="S9" s="733">
        <v>77.011963816749358</v>
      </c>
      <c r="T9" s="737" t="s">
        <v>368</v>
      </c>
      <c r="U9" s="736">
        <v>7384</v>
      </c>
      <c r="V9" s="733">
        <v>74.308141290127807</v>
      </c>
      <c r="W9" s="737" t="s">
        <v>368</v>
      </c>
      <c r="X9" s="736">
        <v>7817.3</v>
      </c>
      <c r="Y9" s="733">
        <v>64.680622207512826</v>
      </c>
      <c r="Z9" s="737" t="s">
        <v>368</v>
      </c>
      <c r="AA9" s="736">
        <v>7658.9</v>
      </c>
      <c r="AB9" s="733">
        <v>69.784965831435073</v>
      </c>
      <c r="AC9" s="737" t="s">
        <v>368</v>
      </c>
      <c r="AD9" s="736">
        <v>7579.1</v>
      </c>
      <c r="AE9" s="733">
        <v>80.112255036678434</v>
      </c>
      <c r="AF9" s="737" t="s">
        <v>368</v>
      </c>
      <c r="AG9" s="736">
        <v>7482.6</v>
      </c>
      <c r="AH9" s="733">
        <v>80.296607895951141</v>
      </c>
      <c r="AI9" s="737" t="s">
        <v>368</v>
      </c>
      <c r="AJ9" s="736">
        <v>7775.3</v>
      </c>
      <c r="AK9" s="733">
        <v>78.642446064995099</v>
      </c>
      <c r="AL9" s="737" t="s">
        <v>368</v>
      </c>
      <c r="AM9" s="736">
        <v>6836</v>
      </c>
      <c r="AN9" s="733">
        <v>72.499734860536648</v>
      </c>
      <c r="AO9" s="737" t="s">
        <v>368</v>
      </c>
      <c r="AP9" s="736">
        <v>9900.2999999999993</v>
      </c>
      <c r="AQ9" s="733">
        <v>79.008355478943713</v>
      </c>
      <c r="AR9" s="737" t="s">
        <v>368</v>
      </c>
      <c r="AS9" s="736">
        <v>9415.1</v>
      </c>
      <c r="AT9" s="733">
        <v>77.590796337654425</v>
      </c>
      <c r="AU9" s="737" t="s">
        <v>368</v>
      </c>
      <c r="AV9" s="736">
        <v>9923</v>
      </c>
      <c r="AW9" s="733">
        <v>85.87401452147499</v>
      </c>
      <c r="AX9" s="737" t="s">
        <v>368</v>
      </c>
      <c r="AY9" s="736">
        <v>9085.5</v>
      </c>
      <c r="AZ9" s="733">
        <v>84.465992339444426</v>
      </c>
      <c r="BA9" s="737" t="s">
        <v>368</v>
      </c>
      <c r="BB9" s="736">
        <v>8493.6</v>
      </c>
      <c r="BC9" s="733">
        <v>79.354965291078457</v>
      </c>
      <c r="BD9" s="737" t="s">
        <v>368</v>
      </c>
      <c r="BE9" s="736">
        <v>8119.1</v>
      </c>
      <c r="BF9" s="733">
        <v>78.688699360341147</v>
      </c>
      <c r="BG9" s="737" t="s">
        <v>368</v>
      </c>
      <c r="BH9" s="736">
        <v>7875.5</v>
      </c>
      <c r="BI9" s="733">
        <v>81.87611760302741</v>
      </c>
      <c r="BJ9" s="737" t="s">
        <v>368</v>
      </c>
      <c r="BK9" s="736">
        <v>10606.1</v>
      </c>
      <c r="BL9" s="733">
        <v>84.028680082395823</v>
      </c>
      <c r="BM9" s="737" t="s">
        <v>368</v>
      </c>
      <c r="BN9" s="736">
        <v>10347.799999999999</v>
      </c>
      <c r="BO9" s="733">
        <v>86.527301613847314</v>
      </c>
      <c r="BP9" s="737" t="s">
        <v>368</v>
      </c>
      <c r="BQ9" s="736">
        <v>16531.599999999999</v>
      </c>
      <c r="BR9" s="733">
        <v>90.577657481932789</v>
      </c>
      <c r="BS9" s="737" t="s">
        <v>368</v>
      </c>
      <c r="BT9" s="736">
        <v>16323.1</v>
      </c>
      <c r="BU9" s="733">
        <v>93.71397404983351</v>
      </c>
      <c r="BV9" s="737" t="s">
        <v>368</v>
      </c>
      <c r="BW9" s="736">
        <v>16071.6</v>
      </c>
      <c r="BX9" s="733">
        <v>90.350798290982695</v>
      </c>
      <c r="BY9" s="737" t="s">
        <v>368</v>
      </c>
      <c r="BZ9" s="736">
        <v>16202.4</v>
      </c>
      <c r="CA9" s="733">
        <v>95.09511037028777</v>
      </c>
      <c r="CB9" s="737" t="s">
        <v>368</v>
      </c>
      <c r="CC9" s="736">
        <v>16387.099999999999</v>
      </c>
      <c r="CD9" s="733">
        <v>93.447801962808157</v>
      </c>
      <c r="CE9" s="737" t="s">
        <v>368</v>
      </c>
      <c r="CF9" s="736">
        <v>20206.7</v>
      </c>
      <c r="CG9" s="733">
        <v>82.911867647601895</v>
      </c>
      <c r="CH9" s="737" t="s">
        <v>368</v>
      </c>
      <c r="CI9" s="736">
        <v>20350.3</v>
      </c>
      <c r="CJ9" s="733">
        <v>86.553192213304754</v>
      </c>
      <c r="CK9" s="739" t="s">
        <v>368</v>
      </c>
      <c r="CL9" s="738">
        <v>20017.5</v>
      </c>
      <c r="CM9" s="733">
        <v>87.258722602918866</v>
      </c>
      <c r="CN9" s="737" t="s">
        <v>368</v>
      </c>
      <c r="CO9" s="736">
        <v>19615.599999999999</v>
      </c>
      <c r="CP9" s="733">
        <v>85.23296587744035</v>
      </c>
      <c r="CQ9" s="737" t="s">
        <v>368</v>
      </c>
      <c r="CR9" s="736">
        <v>15901</v>
      </c>
      <c r="CS9" s="733">
        <v>91.051203060044202</v>
      </c>
      <c r="CT9" s="737" t="s">
        <v>368</v>
      </c>
      <c r="CU9" s="736">
        <v>16000</v>
      </c>
      <c r="CV9" s="733">
        <v>90.066254988826159</v>
      </c>
      <c r="CW9" s="739" t="s">
        <v>368</v>
      </c>
      <c r="CX9" s="738">
        <v>16419</v>
      </c>
      <c r="CY9" s="733">
        <v>92.815149802148113</v>
      </c>
      <c r="CZ9" s="737" t="s">
        <v>368</v>
      </c>
      <c r="DA9" s="736">
        <v>9864</v>
      </c>
      <c r="DB9" s="733">
        <v>88.498115916023693</v>
      </c>
      <c r="DC9" s="737" t="s">
        <v>368</v>
      </c>
      <c r="DD9" s="736">
        <v>10580</v>
      </c>
      <c r="DE9" s="733">
        <v>89.154799022499361</v>
      </c>
      <c r="DF9" s="735" t="s">
        <v>368</v>
      </c>
      <c r="DG9" s="734">
        <v>11398.36</v>
      </c>
      <c r="DH9" s="733">
        <v>85.830765569983228</v>
      </c>
      <c r="DI9" s="735" t="s">
        <v>368</v>
      </c>
      <c r="DJ9" s="734">
        <v>11961</v>
      </c>
      <c r="DK9" s="733">
        <v>85.745008781676773</v>
      </c>
      <c r="DL9" s="735" t="s">
        <v>368</v>
      </c>
      <c r="DM9" s="734">
        <v>12248</v>
      </c>
      <c r="DN9" s="733">
        <v>86.09346004611146</v>
      </c>
      <c r="DO9" s="735" t="s">
        <v>368</v>
      </c>
      <c r="DP9" s="734">
        <v>13028.6</v>
      </c>
      <c r="DQ9" s="733">
        <v>94.998031295116164</v>
      </c>
      <c r="DR9" s="735" t="s">
        <v>368</v>
      </c>
      <c r="DS9" s="734">
        <v>14440</v>
      </c>
      <c r="DT9" s="733">
        <v>74.813497308216583</v>
      </c>
      <c r="DU9" s="735" t="s">
        <v>368</v>
      </c>
      <c r="DV9" s="734">
        <v>15573.37</v>
      </c>
      <c r="DW9" s="733">
        <v>63.159805151378364</v>
      </c>
      <c r="DX9" s="735" t="s">
        <v>368</v>
      </c>
      <c r="DY9" s="734">
        <v>16525.620000000003</v>
      </c>
      <c r="DZ9" s="733">
        <v>55.739503068508952</v>
      </c>
      <c r="EA9" s="735" t="s">
        <v>368</v>
      </c>
      <c r="EB9" s="734">
        <v>18634</v>
      </c>
      <c r="EC9" s="733">
        <v>58.218951246549167</v>
      </c>
      <c r="ED9" s="735" t="s">
        <v>368</v>
      </c>
      <c r="EE9" s="734">
        <v>19013.97</v>
      </c>
      <c r="EF9" s="733">
        <v>63.116870959753726</v>
      </c>
      <c r="EG9" s="735" t="s">
        <v>368</v>
      </c>
      <c r="EH9" s="734">
        <v>19124.54</v>
      </c>
      <c r="EI9" s="733">
        <v>57.336574838996526</v>
      </c>
      <c r="EJ9" s="735" t="s">
        <v>368</v>
      </c>
      <c r="EK9" s="734">
        <v>19161</v>
      </c>
      <c r="EL9" s="733">
        <v>57.91796390895626</v>
      </c>
      <c r="EM9" s="735" t="s">
        <v>368</v>
      </c>
      <c r="EN9" s="734">
        <v>20590.400000000001</v>
      </c>
      <c r="EO9" s="733">
        <v>66.277699130198556</v>
      </c>
      <c r="EP9" s="735" t="s">
        <v>368</v>
      </c>
      <c r="EQ9" s="734">
        <v>20367.93</v>
      </c>
      <c r="ER9" s="733">
        <v>65.737989575096421</v>
      </c>
      <c r="ES9" s="735" t="s">
        <v>368</v>
      </c>
      <c r="ET9" s="734">
        <v>26505.3</v>
      </c>
      <c r="EU9" s="733">
        <v>72.630134711550241</v>
      </c>
      <c r="EV9" s="735" t="s">
        <v>368</v>
      </c>
      <c r="EW9" s="734">
        <v>25900.35</v>
      </c>
      <c r="EX9" s="733">
        <v>73.359668815311181</v>
      </c>
      <c r="EY9" s="735" t="s">
        <v>368</v>
      </c>
      <c r="EZ9" s="734">
        <v>27992.01</v>
      </c>
      <c r="FA9" s="733">
        <v>68.7324283272185</v>
      </c>
      <c r="FB9" s="735" t="s">
        <v>368</v>
      </c>
      <c r="FC9" s="734">
        <v>27549.77</v>
      </c>
      <c r="FD9" s="733">
        <v>65.206185811015516</v>
      </c>
      <c r="FE9" s="735" t="s">
        <v>368</v>
      </c>
      <c r="FF9" s="734">
        <v>26842</v>
      </c>
      <c r="FG9" s="733">
        <v>72.671648256443575</v>
      </c>
      <c r="FH9" s="735" t="s">
        <v>368</v>
      </c>
      <c r="FI9" s="734">
        <v>27704</v>
      </c>
      <c r="FJ9" s="733">
        <v>76.48601639932636</v>
      </c>
      <c r="FK9" s="735" t="s">
        <v>368</v>
      </c>
      <c r="FL9" s="734">
        <v>26683.41</v>
      </c>
      <c r="FM9" s="733">
        <v>77.353508771166929</v>
      </c>
      <c r="FN9" s="735" t="s">
        <v>368</v>
      </c>
      <c r="FO9" s="734">
        <v>27689.11</v>
      </c>
      <c r="FP9" s="733">
        <v>74.082593107876718</v>
      </c>
    </row>
    <row r="10" spans="1:172" x14ac:dyDescent="0.35">
      <c r="A10" s="732" t="s">
        <v>447</v>
      </c>
      <c r="B10" s="731"/>
      <c r="C10" s="727">
        <v>11033</v>
      </c>
      <c r="D10" s="723"/>
      <c r="E10" s="728"/>
      <c r="F10" s="727">
        <v>10440</v>
      </c>
      <c r="G10" s="723"/>
      <c r="H10" s="728"/>
      <c r="I10" s="727">
        <v>10632</v>
      </c>
      <c r="J10" s="723"/>
      <c r="K10" s="728"/>
      <c r="L10" s="727">
        <v>11236</v>
      </c>
      <c r="M10" s="723"/>
      <c r="N10" s="728"/>
      <c r="O10" s="727">
        <v>11557</v>
      </c>
      <c r="P10" s="723"/>
      <c r="Q10" s="728"/>
      <c r="R10" s="727">
        <v>10281</v>
      </c>
      <c r="S10" s="723"/>
      <c r="T10" s="728"/>
      <c r="U10" s="727">
        <v>9937</v>
      </c>
      <c r="V10" s="723"/>
      <c r="W10" s="728"/>
      <c r="X10" s="727">
        <v>12086</v>
      </c>
      <c r="Y10" s="723"/>
      <c r="Z10" s="728"/>
      <c r="AA10" s="727">
        <v>10975</v>
      </c>
      <c r="AB10" s="723"/>
      <c r="AC10" s="728"/>
      <c r="AD10" s="727">
        <v>9460.6</v>
      </c>
      <c r="AE10" s="723"/>
      <c r="AF10" s="728"/>
      <c r="AG10" s="727">
        <v>9318.7000000000007</v>
      </c>
      <c r="AH10" s="723"/>
      <c r="AI10" s="728"/>
      <c r="AJ10" s="727">
        <v>9886.9</v>
      </c>
      <c r="AK10" s="723"/>
      <c r="AL10" s="728"/>
      <c r="AM10" s="727">
        <v>9429</v>
      </c>
      <c r="AN10" s="723"/>
      <c r="AO10" s="728"/>
      <c r="AP10" s="727">
        <v>12530.699999999999</v>
      </c>
      <c r="AQ10" s="723"/>
      <c r="AR10" s="728"/>
      <c r="AS10" s="727">
        <v>12134.3</v>
      </c>
      <c r="AT10" s="723"/>
      <c r="AU10" s="728"/>
      <c r="AV10" s="727">
        <v>11555.3</v>
      </c>
      <c r="AW10" s="723"/>
      <c r="AX10" s="728"/>
      <c r="AY10" s="727">
        <v>10756.4</v>
      </c>
      <c r="AZ10" s="723"/>
      <c r="BA10" s="728"/>
      <c r="BB10" s="727">
        <v>10703.3</v>
      </c>
      <c r="BC10" s="723"/>
      <c r="BD10" s="728"/>
      <c r="BE10" s="727">
        <v>10318</v>
      </c>
      <c r="BF10" s="723"/>
      <c r="BG10" s="728"/>
      <c r="BH10" s="727">
        <v>9618.7999999999993</v>
      </c>
      <c r="BI10" s="723"/>
      <c r="BJ10" s="728"/>
      <c r="BK10" s="727">
        <v>12622</v>
      </c>
      <c r="BL10" s="723"/>
      <c r="BM10" s="728"/>
      <c r="BN10" s="727">
        <v>11959</v>
      </c>
      <c r="BO10" s="723"/>
      <c r="BP10" s="728"/>
      <c r="BQ10" s="727">
        <v>18251.3</v>
      </c>
      <c r="BR10" s="723"/>
      <c r="BS10" s="728"/>
      <c r="BT10" s="727">
        <v>17418</v>
      </c>
      <c r="BU10" s="723"/>
      <c r="BV10" s="728"/>
      <c r="BW10" s="727">
        <v>17788</v>
      </c>
      <c r="BX10" s="723"/>
      <c r="BY10" s="728"/>
      <c r="BZ10" s="727">
        <v>17038.099999999999</v>
      </c>
      <c r="CA10" s="723"/>
      <c r="CB10" s="728"/>
      <c r="CC10" s="727">
        <v>17536.099999999999</v>
      </c>
      <c r="CD10" s="723"/>
      <c r="CE10" s="728"/>
      <c r="CF10" s="727">
        <v>24371.300000000003</v>
      </c>
      <c r="CG10" s="723"/>
      <c r="CH10" s="728"/>
      <c r="CI10" s="727">
        <v>23511.899999999998</v>
      </c>
      <c r="CJ10" s="723"/>
      <c r="CK10" s="728"/>
      <c r="CL10" s="125">
        <v>22940.400000000001</v>
      </c>
      <c r="CM10" s="730"/>
      <c r="CN10" s="729"/>
      <c r="CO10" s="125">
        <v>23014.1</v>
      </c>
      <c r="CP10" s="730"/>
      <c r="CQ10" s="729"/>
      <c r="CR10" s="125">
        <v>17463.8</v>
      </c>
      <c r="CS10" s="730"/>
      <c r="CT10" s="729"/>
      <c r="CU10" s="125">
        <v>17764.7</v>
      </c>
      <c r="CV10" s="730"/>
      <c r="CW10" s="729"/>
      <c r="CX10" s="125">
        <v>17690</v>
      </c>
      <c r="CY10" s="723"/>
      <c r="CZ10" s="728"/>
      <c r="DA10" s="727">
        <v>11146</v>
      </c>
      <c r="DB10" s="723"/>
      <c r="DC10" s="728"/>
      <c r="DD10" s="727">
        <v>11867</v>
      </c>
      <c r="DE10" s="723"/>
      <c r="DF10" s="726"/>
      <c r="DG10" s="724">
        <v>13280.04</v>
      </c>
      <c r="DH10" s="723"/>
      <c r="DI10" s="725"/>
      <c r="DJ10" s="724">
        <v>13949.5</v>
      </c>
      <c r="DK10" s="723"/>
      <c r="DL10" s="725"/>
      <c r="DM10" s="724">
        <v>14226.4</v>
      </c>
      <c r="DN10" s="723"/>
      <c r="DO10" s="725"/>
      <c r="DP10" s="724">
        <v>13714.6</v>
      </c>
      <c r="DQ10" s="723"/>
      <c r="DR10" s="725"/>
      <c r="DS10" s="724">
        <v>19301.330000000002</v>
      </c>
      <c r="DT10" s="723"/>
      <c r="DU10" s="725"/>
      <c r="DV10" s="724">
        <v>24657.09</v>
      </c>
      <c r="DW10" s="723"/>
      <c r="DX10" s="725"/>
      <c r="DY10" s="724">
        <v>29647.950000000004</v>
      </c>
      <c r="DZ10" s="723"/>
      <c r="EA10" s="725"/>
      <c r="EB10" s="724">
        <v>32006.760000000002</v>
      </c>
      <c r="EC10" s="723"/>
      <c r="ED10" s="725"/>
      <c r="EE10" s="724">
        <v>30125.02</v>
      </c>
      <c r="EF10" s="723"/>
      <c r="EG10" s="725"/>
      <c r="EH10" s="724">
        <v>33354.870000000003</v>
      </c>
      <c r="EI10" s="723"/>
      <c r="EJ10" s="725"/>
      <c r="EK10" s="724">
        <v>33083</v>
      </c>
      <c r="EL10" s="723"/>
      <c r="EM10" s="725"/>
      <c r="EN10" s="724">
        <v>31066.86</v>
      </c>
      <c r="EO10" s="723"/>
      <c r="EP10" s="725"/>
      <c r="EQ10" s="724">
        <v>30983.5</v>
      </c>
      <c r="ER10" s="723"/>
      <c r="ES10" s="725"/>
      <c r="ET10" s="724">
        <v>36493.53</v>
      </c>
      <c r="EU10" s="723"/>
      <c r="EV10" s="725"/>
      <c r="EW10" s="724">
        <v>35305.979999999996</v>
      </c>
      <c r="EX10" s="723"/>
      <c r="EY10" s="725"/>
      <c r="EZ10" s="724">
        <v>40726.06</v>
      </c>
      <c r="FA10" s="723"/>
      <c r="FB10" s="725"/>
      <c r="FC10" s="724">
        <v>42250.239999999998</v>
      </c>
      <c r="FD10" s="723"/>
      <c r="FE10" s="725"/>
      <c r="FF10" s="724">
        <v>36936</v>
      </c>
      <c r="FG10" s="723"/>
      <c r="FH10" s="725"/>
      <c r="FI10" s="724">
        <v>36221</v>
      </c>
      <c r="FJ10" s="723"/>
      <c r="FK10" s="725"/>
      <c r="FL10" s="724">
        <v>34495.410000000003</v>
      </c>
      <c r="FM10" s="723"/>
      <c r="FN10" s="725"/>
      <c r="FO10" s="724">
        <v>37376</v>
      </c>
      <c r="FP10" s="723"/>
    </row>
    <row r="11" spans="1:172" x14ac:dyDescent="0.35">
      <c r="A11" s="722"/>
      <c r="B11" s="721"/>
      <c r="C11" s="719"/>
      <c r="D11" s="718"/>
      <c r="E11" s="720"/>
      <c r="F11" s="719"/>
      <c r="G11" s="718"/>
      <c r="H11" s="720"/>
      <c r="I11" s="719"/>
      <c r="J11" s="718"/>
      <c r="K11" s="720"/>
      <c r="L11" s="719"/>
      <c r="M11" s="718"/>
      <c r="N11" s="720"/>
      <c r="O11" s="719"/>
      <c r="P11" s="718"/>
      <c r="Q11" s="720"/>
      <c r="R11" s="719"/>
      <c r="S11" s="718"/>
      <c r="T11" s="720"/>
      <c r="U11" s="719"/>
      <c r="V11" s="718"/>
      <c r="W11" s="720"/>
      <c r="X11" s="719"/>
      <c r="Y11" s="718"/>
      <c r="Z11" s="720"/>
      <c r="AA11" s="719"/>
      <c r="AB11" s="718"/>
      <c r="AC11" s="720"/>
      <c r="AD11" s="719"/>
      <c r="AE11" s="718"/>
      <c r="AF11" s="720"/>
      <c r="AG11" s="719"/>
      <c r="AH11" s="718"/>
      <c r="AI11" s="720"/>
      <c r="AJ11" s="719"/>
      <c r="AK11" s="718"/>
      <c r="AL11" s="720"/>
      <c r="AM11" s="719"/>
      <c r="AN11" s="718"/>
      <c r="AO11" s="720"/>
      <c r="AP11" s="719"/>
      <c r="AQ11" s="718"/>
      <c r="AR11" s="720"/>
      <c r="AS11" s="719"/>
      <c r="AT11" s="718"/>
      <c r="AU11" s="720"/>
      <c r="AV11" s="719"/>
      <c r="AW11" s="718"/>
      <c r="AX11" s="720"/>
      <c r="AY11" s="719"/>
      <c r="AZ11" s="718"/>
      <c r="BA11" s="720"/>
      <c r="BB11" s="719"/>
      <c r="BC11" s="718"/>
      <c r="BD11" s="720"/>
      <c r="BE11" s="719"/>
      <c r="BF11" s="718"/>
      <c r="BG11" s="720"/>
      <c r="BH11" s="719"/>
      <c r="BI11" s="718"/>
      <c r="BJ11" s="720"/>
      <c r="BK11" s="719"/>
      <c r="BL11" s="718"/>
      <c r="BM11" s="720"/>
      <c r="BN11" s="719"/>
      <c r="BO11" s="718"/>
      <c r="BP11" s="720"/>
      <c r="BQ11" s="719"/>
      <c r="BR11" s="718"/>
      <c r="BS11" s="720"/>
      <c r="BT11" s="719"/>
      <c r="BU11" s="718"/>
      <c r="BV11" s="720"/>
      <c r="BW11" s="719"/>
      <c r="BX11" s="718"/>
      <c r="BY11" s="720"/>
      <c r="BZ11" s="719"/>
      <c r="CA11" s="718"/>
      <c r="CB11" s="720"/>
      <c r="CC11" s="719"/>
      <c r="CD11" s="718"/>
      <c r="CE11" s="720"/>
      <c r="CF11" s="719"/>
      <c r="CG11" s="718"/>
      <c r="CH11" s="720"/>
      <c r="CI11" s="719"/>
      <c r="CJ11" s="718"/>
      <c r="CK11" s="720"/>
      <c r="CL11" s="719"/>
      <c r="CM11" s="718"/>
      <c r="CN11" s="720"/>
      <c r="CO11" s="719"/>
      <c r="CP11" s="718"/>
      <c r="CQ11" s="720"/>
      <c r="CR11" s="719"/>
      <c r="CS11" s="718"/>
      <c r="CT11" s="720"/>
      <c r="CU11" s="719"/>
      <c r="CV11" s="718"/>
      <c r="CW11" s="720"/>
      <c r="CX11" s="719"/>
      <c r="CY11" s="718"/>
      <c r="CZ11" s="720"/>
      <c r="DA11" s="719"/>
      <c r="DB11" s="718"/>
      <c r="DC11" s="720"/>
      <c r="DD11" s="719"/>
      <c r="DE11" s="718"/>
      <c r="DF11" s="720"/>
      <c r="DG11" s="719"/>
      <c r="DH11" s="718"/>
      <c r="DI11" s="720"/>
      <c r="DJ11" s="719"/>
      <c r="DK11" s="718"/>
      <c r="DL11" s="720"/>
      <c r="DM11" s="719"/>
      <c r="DN11" s="718"/>
      <c r="DO11" s="720"/>
      <c r="DP11" s="719"/>
      <c r="DQ11" s="718"/>
      <c r="DR11" s="720"/>
      <c r="DS11" s="719"/>
      <c r="DT11" s="718"/>
      <c r="DU11" s="720"/>
      <c r="DV11" s="719"/>
      <c r="DW11" s="718"/>
      <c r="DX11" s="720"/>
      <c r="DY11" s="719"/>
      <c r="DZ11" s="718"/>
      <c r="EA11" s="720"/>
      <c r="EB11" s="719"/>
      <c r="EC11" s="718"/>
      <c r="ED11" s="720"/>
      <c r="EE11" s="719"/>
      <c r="EF11" s="718"/>
      <c r="EG11" s="720"/>
      <c r="EH11" s="719"/>
      <c r="EI11" s="718"/>
      <c r="EJ11" s="720"/>
      <c r="EK11" s="719"/>
      <c r="EL11" s="718"/>
      <c r="EM11" s="720"/>
      <c r="EN11" s="719"/>
      <c r="EO11" s="718"/>
      <c r="EP11" s="720"/>
      <c r="EQ11" s="719"/>
      <c r="ER11" s="718"/>
      <c r="ES11" s="720"/>
      <c r="ET11" s="719"/>
      <c r="EU11" s="718"/>
      <c r="EV11" s="720"/>
      <c r="EW11" s="719"/>
      <c r="EX11" s="718"/>
      <c r="EY11" s="720"/>
      <c r="EZ11" s="719"/>
      <c r="FA11" s="718"/>
      <c r="FB11" s="720"/>
      <c r="FC11" s="719"/>
      <c r="FD11" s="718"/>
      <c r="FE11" s="720"/>
      <c r="FF11" s="719"/>
      <c r="FG11" s="718"/>
      <c r="FH11" s="720"/>
      <c r="FI11" s="719"/>
      <c r="FJ11" s="718"/>
      <c r="FK11" s="720"/>
      <c r="FL11" s="719"/>
      <c r="FM11" s="718"/>
      <c r="FN11" s="720"/>
      <c r="FO11" s="719"/>
      <c r="FP11" s="718"/>
    </row>
    <row r="13" spans="1:172" x14ac:dyDescent="0.35">
      <c r="A13" s="1240" t="s">
        <v>683</v>
      </c>
      <c r="B13" s="1240"/>
      <c r="C13" s="1240"/>
      <c r="D13" s="1240"/>
      <c r="E13" s="1240"/>
      <c r="F13" s="1240"/>
      <c r="G13" s="1240"/>
      <c r="H13" s="1240"/>
      <c r="I13" s="1240"/>
      <c r="J13" s="1240"/>
      <c r="K13" s="1240"/>
      <c r="L13" s="1240"/>
      <c r="M13" s="1240"/>
      <c r="N13" s="1240"/>
      <c r="O13" s="1240"/>
      <c r="P13" s="1240"/>
      <c r="Q13" s="1240"/>
      <c r="R13" s="1240"/>
      <c r="S13" s="1240"/>
      <c r="T13" s="1240"/>
      <c r="U13" s="1240"/>
      <c r="V13" s="1240"/>
      <c r="W13" s="1240"/>
      <c r="X13" s="1240"/>
      <c r="Y13" s="1240"/>
      <c r="Z13" s="1240"/>
      <c r="AA13" s="1240"/>
      <c r="AB13" s="1240"/>
      <c r="AC13" s="1240"/>
      <c r="AD13" s="1240"/>
      <c r="AE13" s="1240"/>
      <c r="AF13" s="1240"/>
      <c r="AG13" s="1240"/>
      <c r="AH13" s="1240"/>
      <c r="AI13" s="1240"/>
      <c r="AJ13" s="1240"/>
      <c r="AK13" s="1240"/>
      <c r="AL13" s="1240"/>
      <c r="AM13" s="1240"/>
      <c r="AN13" s="1240"/>
      <c r="AO13" s="1240"/>
      <c r="AP13" s="1240"/>
      <c r="AQ13" s="1240"/>
      <c r="AR13" s="1240"/>
      <c r="AS13" s="1240"/>
      <c r="AT13" s="1240"/>
      <c r="AU13" s="1240"/>
      <c r="AV13" s="1240"/>
      <c r="AW13" s="1240"/>
      <c r="AX13" s="1240"/>
      <c r="AY13" s="1240"/>
      <c r="AZ13" s="1240"/>
      <c r="BA13" s="1240"/>
      <c r="BB13" s="1240"/>
      <c r="BC13" s="1240"/>
      <c r="BD13" s="1240"/>
      <c r="BE13" s="1240"/>
      <c r="BF13" s="1240"/>
      <c r="BG13" s="1240"/>
      <c r="BH13" s="1240"/>
      <c r="BI13" s="1240"/>
      <c r="BJ13" s="1240"/>
      <c r="BK13" s="1240"/>
      <c r="BL13" s="1240"/>
      <c r="BM13" s="1240"/>
      <c r="BN13" s="1240"/>
      <c r="BO13" s="1240"/>
      <c r="BP13" s="1240"/>
      <c r="BQ13" s="1240"/>
      <c r="BR13" s="1240"/>
      <c r="BS13" s="1240"/>
      <c r="BT13" s="1240"/>
      <c r="BU13" s="1240"/>
      <c r="BV13" s="1240"/>
      <c r="BW13" s="1240"/>
      <c r="BX13" s="1240"/>
      <c r="BY13" s="1240"/>
      <c r="BZ13" s="1240"/>
      <c r="CA13" s="1240"/>
      <c r="CB13" s="1240"/>
      <c r="CC13" s="1240"/>
      <c r="CD13" s="1240"/>
      <c r="CE13" s="1240"/>
      <c r="CF13" s="1240"/>
      <c r="CG13" s="1240"/>
      <c r="CH13" s="1240"/>
      <c r="CI13" s="1240"/>
      <c r="CJ13" s="1240"/>
      <c r="CK13" s="1240"/>
      <c r="CL13" s="1240"/>
      <c r="CM13" s="1240"/>
      <c r="CN13" s="1240"/>
      <c r="CO13" s="1240"/>
      <c r="CP13" s="1240"/>
      <c r="CQ13" s="1240"/>
      <c r="CR13" s="1240"/>
      <c r="CS13" s="1240"/>
      <c r="CT13" s="1240"/>
      <c r="CU13" s="1240"/>
      <c r="CV13" s="1240"/>
      <c r="CW13" s="1240"/>
      <c r="CX13" s="1240"/>
      <c r="CY13" s="1240"/>
      <c r="CZ13" s="1240"/>
      <c r="DA13" s="1240"/>
      <c r="DB13" s="1240"/>
      <c r="DC13" s="1240"/>
      <c r="DD13" s="1240"/>
      <c r="DE13" s="1240"/>
      <c r="DF13" s="1240"/>
      <c r="DG13" s="1240"/>
      <c r="DH13" s="1240"/>
      <c r="DI13" s="1240"/>
      <c r="DJ13" s="1240"/>
      <c r="DK13" s="1240"/>
      <c r="DL13" s="1240"/>
      <c r="DM13" s="1240"/>
      <c r="DN13" s="1240"/>
      <c r="DO13" s="1240"/>
      <c r="DP13" s="1240"/>
      <c r="DQ13" s="1240"/>
      <c r="DR13" s="1240"/>
      <c r="DS13" s="1240"/>
      <c r="DT13" s="1240"/>
      <c r="DU13" s="1240"/>
      <c r="DV13" s="1240"/>
      <c r="DW13" s="1240"/>
      <c r="DX13" s="1240"/>
      <c r="DY13" s="1240"/>
      <c r="DZ13" s="1240"/>
      <c r="EA13" s="1240"/>
      <c r="EB13" s="1240"/>
      <c r="EC13" s="1240"/>
      <c r="ED13" s="1240"/>
      <c r="EE13" s="1240"/>
      <c r="EF13" s="1240"/>
      <c r="EG13" s="1240"/>
      <c r="EH13" s="1240"/>
      <c r="EI13" s="1240"/>
      <c r="EJ13" s="1240"/>
      <c r="EK13" s="1240"/>
      <c r="EL13" s="1240"/>
      <c r="EM13" s="1240"/>
      <c r="EN13" s="1240"/>
      <c r="EO13" s="1240"/>
      <c r="EP13" s="1240"/>
      <c r="EQ13" s="1240"/>
      <c r="ER13" s="1240"/>
      <c r="ES13" s="1240"/>
      <c r="ET13" s="1240"/>
      <c r="EU13" s="1240"/>
      <c r="EV13" s="1240"/>
      <c r="EW13" s="1240"/>
      <c r="EX13" s="1240"/>
      <c r="EY13" s="1240"/>
      <c r="EZ13" s="1240"/>
      <c r="FA13" s="1240"/>
      <c r="FB13" s="1240"/>
      <c r="FC13" s="1240"/>
      <c r="FD13" s="1240"/>
      <c r="FE13" s="1240"/>
      <c r="FF13" s="1240"/>
      <c r="FG13" s="1240"/>
      <c r="FH13" s="1240"/>
      <c r="FI13" s="1240"/>
      <c r="FJ13" s="1240"/>
      <c r="FK13" s="1240"/>
      <c r="FL13" s="1240"/>
      <c r="FM13" s="1240"/>
      <c r="FN13" s="1240"/>
      <c r="FO13" s="1240"/>
      <c r="FP13" s="1240"/>
    </row>
    <row r="14" spans="1:172" x14ac:dyDescent="0.35">
      <c r="A14" s="1240" t="s">
        <v>607</v>
      </c>
      <c r="B14" s="1240"/>
      <c r="C14" s="1240"/>
      <c r="D14" s="1240"/>
      <c r="E14" s="1240"/>
      <c r="F14" s="1240"/>
      <c r="G14" s="1240"/>
      <c r="H14" s="1240"/>
      <c r="I14" s="1240"/>
      <c r="J14" s="1240"/>
      <c r="K14" s="1240"/>
      <c r="L14" s="1240"/>
      <c r="M14" s="1240"/>
      <c r="N14" s="1240"/>
      <c r="O14" s="1240"/>
      <c r="P14" s="1240"/>
      <c r="Q14" s="1240"/>
      <c r="R14" s="1240"/>
      <c r="S14" s="1240"/>
      <c r="T14" s="1240"/>
      <c r="U14" s="1240"/>
      <c r="V14" s="1240"/>
      <c r="W14" s="1240"/>
      <c r="X14" s="1240"/>
      <c r="Y14" s="1240"/>
      <c r="Z14" s="1240"/>
      <c r="AA14" s="1240"/>
      <c r="AB14" s="1240"/>
      <c r="AC14" s="1240"/>
      <c r="AD14" s="1240"/>
      <c r="AE14" s="1240"/>
      <c r="AF14" s="1240"/>
      <c r="AG14" s="1240"/>
      <c r="AH14" s="1240"/>
      <c r="AI14" s="1240"/>
      <c r="AJ14" s="1240"/>
      <c r="AK14" s="1240"/>
      <c r="AL14" s="1240"/>
      <c r="AM14" s="1240"/>
      <c r="AN14" s="1240"/>
      <c r="AO14" s="1240"/>
      <c r="AP14" s="1240"/>
      <c r="AQ14" s="1240"/>
      <c r="AR14" s="1240"/>
      <c r="AS14" s="1240"/>
      <c r="AT14" s="1240"/>
      <c r="AU14" s="1240"/>
      <c r="AV14" s="1240"/>
      <c r="AW14" s="1240"/>
      <c r="AX14" s="1240"/>
      <c r="AY14" s="1240"/>
      <c r="AZ14" s="1240"/>
      <c r="BA14" s="1240"/>
      <c r="BB14" s="1240"/>
      <c r="BC14" s="1240"/>
      <c r="BD14" s="1240"/>
      <c r="BE14" s="1240"/>
      <c r="BF14" s="1240"/>
      <c r="BG14" s="1240"/>
      <c r="BH14" s="1240"/>
      <c r="BI14" s="1240"/>
      <c r="BJ14" s="1240"/>
      <c r="BK14" s="1240"/>
      <c r="BL14" s="1240"/>
      <c r="BM14" s="1240"/>
      <c r="BN14" s="1240"/>
      <c r="BO14" s="1240"/>
      <c r="BP14" s="1240"/>
      <c r="BQ14" s="1240"/>
      <c r="BR14" s="1240"/>
      <c r="BS14" s="1240"/>
      <c r="BT14" s="1240"/>
      <c r="BU14" s="1240"/>
      <c r="BV14" s="1240"/>
      <c r="BW14" s="1240"/>
      <c r="BX14" s="1240"/>
      <c r="BY14" s="1240"/>
      <c r="BZ14" s="1240"/>
      <c r="CA14" s="1240"/>
      <c r="CB14" s="1240"/>
      <c r="CC14" s="1240"/>
      <c r="CD14" s="1240"/>
      <c r="CE14" s="1240"/>
      <c r="CF14" s="1240"/>
      <c r="CG14" s="1240"/>
      <c r="CH14" s="1240"/>
      <c r="CI14" s="1240"/>
      <c r="CJ14" s="1240"/>
      <c r="CK14" s="1240"/>
      <c r="CL14" s="1240"/>
      <c r="CM14" s="1240"/>
      <c r="CN14" s="1240"/>
      <c r="CO14" s="1240"/>
      <c r="CP14" s="1240"/>
      <c r="CQ14" s="1240"/>
      <c r="CR14" s="1240"/>
      <c r="CS14" s="1240"/>
      <c r="CT14" s="1240"/>
      <c r="CU14" s="1240"/>
      <c r="CV14" s="1240"/>
      <c r="CW14" s="1240"/>
      <c r="CX14" s="1240"/>
      <c r="CY14" s="1240"/>
      <c r="CZ14" s="1240"/>
      <c r="DA14" s="1240"/>
      <c r="DB14" s="1240"/>
      <c r="DC14" s="1240"/>
      <c r="DD14" s="1240"/>
      <c r="DE14" s="1240"/>
      <c r="DF14" s="1240"/>
      <c r="DG14" s="1240"/>
      <c r="DH14" s="1240"/>
      <c r="DI14" s="1240"/>
      <c r="DJ14" s="1240"/>
      <c r="DK14" s="1240"/>
      <c r="DL14" s="1240"/>
      <c r="DM14" s="1240"/>
      <c r="DN14" s="1240"/>
      <c r="DO14" s="1240"/>
      <c r="DP14" s="1240"/>
      <c r="DQ14" s="1240"/>
      <c r="DR14" s="1240"/>
      <c r="DS14" s="1240"/>
      <c r="DT14" s="1240"/>
      <c r="DU14" s="1240"/>
      <c r="DV14" s="1240"/>
      <c r="DW14" s="1240"/>
      <c r="DX14" s="1240"/>
      <c r="DY14" s="1240"/>
      <c r="DZ14" s="1240"/>
      <c r="EA14" s="1240"/>
      <c r="EB14" s="1240"/>
      <c r="EC14" s="1240"/>
      <c r="ED14" s="1240"/>
      <c r="EE14" s="1240"/>
      <c r="EF14" s="1240"/>
      <c r="EG14" s="1240"/>
      <c r="EH14" s="1240"/>
      <c r="EI14" s="1240"/>
      <c r="EJ14" s="1240"/>
      <c r="EK14" s="1240"/>
      <c r="EL14" s="1240"/>
      <c r="EM14" s="1240"/>
      <c r="EN14" s="1240"/>
      <c r="EO14" s="1240"/>
      <c r="EP14" s="1240"/>
      <c r="EQ14" s="1240"/>
      <c r="ER14" s="1240"/>
      <c r="ES14" s="1240"/>
      <c r="ET14" s="1240"/>
      <c r="EU14" s="1240"/>
      <c r="EV14" s="1240"/>
      <c r="EW14" s="1240"/>
      <c r="EX14" s="1240"/>
      <c r="EY14" s="1240"/>
      <c r="EZ14" s="1240"/>
      <c r="FA14" s="1240"/>
      <c r="FB14" s="1240"/>
      <c r="FC14" s="1240"/>
      <c r="FD14" s="1240"/>
      <c r="FE14" s="1240"/>
      <c r="FF14" s="1240"/>
      <c r="FG14" s="1240"/>
      <c r="FH14" s="1240"/>
      <c r="FI14" s="1240"/>
      <c r="FJ14" s="1240"/>
      <c r="FK14" s="1240"/>
      <c r="FL14" s="1240"/>
      <c r="FM14" s="1240"/>
      <c r="FN14" s="1240"/>
      <c r="FO14" s="1240"/>
      <c r="FP14" s="1240"/>
    </row>
    <row r="15" spans="1:172" x14ac:dyDescent="0.35">
      <c r="P15" s="717"/>
      <c r="Q15" s="110"/>
      <c r="R15" s="110"/>
      <c r="S15" s="110"/>
      <c r="T15" s="716"/>
      <c r="W15" s="716"/>
    </row>
    <row r="16" spans="1:172" x14ac:dyDescent="0.35">
      <c r="U16" s="715"/>
      <c r="V16" s="715"/>
      <c r="W16" s="715"/>
    </row>
    <row r="17" spans="21:23" x14ac:dyDescent="0.35">
      <c r="U17" s="715"/>
      <c r="V17" s="715"/>
      <c r="W17" s="715"/>
    </row>
    <row r="18" spans="21:23" x14ac:dyDescent="0.35">
      <c r="U18" s="715"/>
      <c r="V18" s="715"/>
      <c r="W18" s="715"/>
    </row>
  </sheetData>
  <mergeCells count="89">
    <mergeCell ref="ES4:EU4"/>
    <mergeCell ref="EV4:EX4"/>
    <mergeCell ref="EY4:FA4"/>
    <mergeCell ref="FB4:FD4"/>
    <mergeCell ref="DU4:DW4"/>
    <mergeCell ref="DX4:DZ4"/>
    <mergeCell ref="FK3:FM3"/>
    <mergeCell ref="FK4:FM4"/>
    <mergeCell ref="FH3:FJ3"/>
    <mergeCell ref="FH4:FJ4"/>
    <mergeCell ref="FE4:FG4"/>
    <mergeCell ref="FE3:FG3"/>
    <mergeCell ref="BM4:BO4"/>
    <mergeCell ref="CZ4:DB4"/>
    <mergeCell ref="BS4:BU4"/>
    <mergeCell ref="BV4:BX4"/>
    <mergeCell ref="BY4:CA4"/>
    <mergeCell ref="CB4:CD4"/>
    <mergeCell ref="CE4:CG4"/>
    <mergeCell ref="CH4:CJ4"/>
    <mergeCell ref="CK4:CM4"/>
    <mergeCell ref="CN4:CP4"/>
    <mergeCell ref="CQ4:CS4"/>
    <mergeCell ref="CT4:CV4"/>
    <mergeCell ref="CW4:CY4"/>
    <mergeCell ref="AX4:AZ4"/>
    <mergeCell ref="BA4:BC4"/>
    <mergeCell ref="BD4:BF4"/>
    <mergeCell ref="BG4:BI4"/>
    <mergeCell ref="BJ4:BL4"/>
    <mergeCell ref="EP3:ER3"/>
    <mergeCell ref="ES3:EU3"/>
    <mergeCell ref="ED3:EF3"/>
    <mergeCell ref="EG3:EI3"/>
    <mergeCell ref="EJ3:EL3"/>
    <mergeCell ref="EM3:EO3"/>
    <mergeCell ref="EV3:EX3"/>
    <mergeCell ref="EY3:FA3"/>
    <mergeCell ref="FB3:FD3"/>
    <mergeCell ref="BP4:BR4"/>
    <mergeCell ref="EA4:EC4"/>
    <mergeCell ref="ED4:EF4"/>
    <mergeCell ref="EG4:EI4"/>
    <mergeCell ref="EJ4:EL4"/>
    <mergeCell ref="DC4:DE4"/>
    <mergeCell ref="DF4:DH4"/>
    <mergeCell ref="DI4:DK4"/>
    <mergeCell ref="DL4:DN4"/>
    <mergeCell ref="DO4:DQ4"/>
    <mergeCell ref="DR4:DT4"/>
    <mergeCell ref="EM4:EO4"/>
    <mergeCell ref="EP4:ER4"/>
    <mergeCell ref="A3:A4"/>
    <mergeCell ref="B3:M3"/>
    <mergeCell ref="N3:Y3"/>
    <mergeCell ref="Z3:AK3"/>
    <mergeCell ref="AL3:AW3"/>
    <mergeCell ref="Q4:S4"/>
    <mergeCell ref="T4:V4"/>
    <mergeCell ref="W4:Y4"/>
    <mergeCell ref="Z4:AB4"/>
    <mergeCell ref="AC4:AE4"/>
    <mergeCell ref="AF4:AH4"/>
    <mergeCell ref="AI4:AK4"/>
    <mergeCell ref="AL4:AN4"/>
    <mergeCell ref="AO4:AQ4"/>
    <mergeCell ref="AR4:AT4"/>
    <mergeCell ref="AU4:AW4"/>
    <mergeCell ref="DL3:DN3"/>
    <mergeCell ref="DO3:DQ3"/>
    <mergeCell ref="DR3:DT3"/>
    <mergeCell ref="DU3:DW3"/>
    <mergeCell ref="DX3:DZ3"/>
    <mergeCell ref="A1:FP1"/>
    <mergeCell ref="A13:FP13"/>
    <mergeCell ref="A14:FP14"/>
    <mergeCell ref="FN3:FP3"/>
    <mergeCell ref="FN4:FP4"/>
    <mergeCell ref="AX3:BI3"/>
    <mergeCell ref="BJ3:BU3"/>
    <mergeCell ref="BV3:CG3"/>
    <mergeCell ref="CH3:CS3"/>
    <mergeCell ref="EA3:EC3"/>
    <mergeCell ref="CT3:CV3"/>
    <mergeCell ref="CW3:CY3"/>
    <mergeCell ref="CZ3:DB3"/>
    <mergeCell ref="DC3:DE3"/>
    <mergeCell ref="DF3:DH3"/>
    <mergeCell ref="DI3:DK3"/>
  </mergeCells>
  <pageMargins left="0.45" right="0.3" top="0.91" bottom="0.74803149606299213" header="0.55118110236220474" footer="0.31496062992125984"/>
  <pageSetup scale="9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HV15"/>
  <sheetViews>
    <sheetView zoomScale="110" zoomScaleNormal="110" workbookViewId="0">
      <pane xSplit="2" ySplit="4" topLeftCell="FJ5" activePane="bottomRight" state="frozen"/>
      <selection pane="topRight" activeCell="B1" sqref="B1"/>
      <selection pane="bottomLeft" activeCell="A5" sqref="A5"/>
      <selection pane="bottomRight" activeCell="HS15" sqref="HS15"/>
    </sheetView>
  </sheetViews>
  <sheetFormatPr defaultColWidth="9.08984375" defaultRowHeight="14.5" x14ac:dyDescent="0.35"/>
  <cols>
    <col min="1" max="1" width="2.7265625" style="631" customWidth="1"/>
    <col min="2" max="2" width="25.36328125" style="631" customWidth="1"/>
    <col min="3" max="4" width="7.36328125" style="631" hidden="1" customWidth="1"/>
    <col min="5" max="5" width="6.453125" style="631" hidden="1" customWidth="1"/>
    <col min="6" max="6" width="7" style="631" hidden="1" customWidth="1"/>
    <col min="7" max="7" width="7.08984375" style="631" hidden="1" customWidth="1"/>
    <col min="8" max="10" width="7.453125" style="631" hidden="1" customWidth="1"/>
    <col min="11" max="11" width="6.453125" style="631" hidden="1" customWidth="1"/>
    <col min="12" max="12" width="7.6328125" style="631" hidden="1" customWidth="1"/>
    <col min="13" max="13" width="7.08984375" style="631" hidden="1" customWidth="1"/>
    <col min="14" max="14" width="6.90625" style="631" hidden="1" customWidth="1"/>
    <col min="15" max="15" width="7.36328125" style="631" hidden="1" customWidth="1"/>
    <col min="16" max="16" width="7.453125" style="631" hidden="1" customWidth="1"/>
    <col min="17" max="17" width="6.453125" style="631" hidden="1" customWidth="1"/>
    <col min="18" max="18" width="7.08984375" style="631" hidden="1" customWidth="1"/>
    <col min="19" max="19" width="6.08984375" style="631" hidden="1" customWidth="1"/>
    <col min="20" max="20" width="7" style="631" hidden="1" customWidth="1"/>
    <col min="21" max="21" width="6.453125" style="631" hidden="1" customWidth="1"/>
    <col min="22" max="23" width="6.6328125" style="631" hidden="1" customWidth="1"/>
    <col min="24" max="24" width="7.36328125" style="631" hidden="1" customWidth="1"/>
    <col min="25" max="25" width="7" style="631" hidden="1" customWidth="1"/>
    <col min="26" max="26" width="6.453125" style="631" hidden="1" customWidth="1"/>
    <col min="27" max="27" width="6.90625" style="631" hidden="1" customWidth="1"/>
    <col min="28" max="29" width="7.453125" style="631" hidden="1" customWidth="1"/>
    <col min="30" max="30" width="6.08984375" style="631" hidden="1" customWidth="1"/>
    <col min="31" max="31" width="6.453125" style="631" hidden="1" customWidth="1"/>
    <col min="32" max="32" width="7.36328125" style="631" hidden="1" customWidth="1"/>
    <col min="33" max="33" width="7.6328125" style="631" hidden="1" customWidth="1"/>
    <col min="34" max="34" width="7.36328125" style="631" hidden="1" customWidth="1"/>
    <col min="35" max="35" width="6.453125" style="631" hidden="1" customWidth="1"/>
    <col min="36" max="36" width="7.453125" style="631" hidden="1" customWidth="1"/>
    <col min="37" max="37" width="7.08984375" style="631" hidden="1" customWidth="1"/>
    <col min="38" max="38" width="6.6328125" style="631" hidden="1" customWidth="1"/>
    <col min="39" max="39" width="7" style="631" hidden="1" customWidth="1"/>
    <col min="40" max="40" width="7.90625" style="631" hidden="1" customWidth="1"/>
    <col min="41" max="41" width="7.08984375" style="631" hidden="1" customWidth="1"/>
    <col min="42" max="42" width="7.453125" style="631" hidden="1" customWidth="1"/>
    <col min="43" max="43" width="6.90625" style="631" hidden="1" customWidth="1"/>
    <col min="44" max="44" width="8" style="631" hidden="1" customWidth="1"/>
    <col min="45" max="46" width="7.08984375" style="631" hidden="1" customWidth="1"/>
    <col min="47" max="47" width="7.90625" style="631" hidden="1" customWidth="1"/>
    <col min="48" max="48" width="8" style="631" hidden="1" customWidth="1"/>
    <col min="49" max="49" width="9.08984375" style="631" hidden="1" customWidth="1"/>
    <col min="50" max="51" width="7.90625" style="631" hidden="1" customWidth="1"/>
    <col min="52" max="52" width="8" style="631" hidden="1" customWidth="1"/>
    <col min="53" max="53" width="9.08984375" style="631" hidden="1" customWidth="1"/>
    <col min="54" max="54" width="7.90625" style="631" hidden="1" customWidth="1"/>
    <col min="55" max="55" width="6.6328125" style="631" hidden="1" customWidth="1"/>
    <col min="56" max="56" width="7.453125" style="631" hidden="1" customWidth="1"/>
    <col min="57" max="57" width="9.08984375" style="631" hidden="1" customWidth="1"/>
    <col min="58" max="58" width="6.453125" style="631" hidden="1" customWidth="1"/>
    <col min="59" max="59" width="6.36328125" style="631" hidden="1" customWidth="1"/>
    <col min="60" max="60" width="6.90625" style="631" hidden="1" customWidth="1"/>
    <col min="61" max="63" width="6.36328125" style="631" hidden="1" customWidth="1"/>
    <col min="64" max="64" width="6.90625" style="631" hidden="1" customWidth="1"/>
    <col min="65" max="67" width="6.36328125" style="631" hidden="1" customWidth="1"/>
    <col min="68" max="68" width="6.6328125" style="631" hidden="1" customWidth="1"/>
    <col min="69" max="71" width="6.36328125" style="631" hidden="1" customWidth="1"/>
    <col min="72" max="72" width="7" style="631" hidden="1" customWidth="1"/>
    <col min="73" max="74" width="6.36328125" style="631" hidden="1" customWidth="1"/>
    <col min="75" max="75" width="6.453125" style="631" hidden="1" customWidth="1"/>
    <col min="76" max="76" width="7" style="631" hidden="1" customWidth="1"/>
    <col min="77" max="77" width="9.08984375" style="631" hidden="1" customWidth="1"/>
    <col min="78" max="78" width="6.453125" style="631" hidden="1" customWidth="1"/>
    <col min="79" max="79" width="6.08984375" style="631" hidden="1" customWidth="1"/>
    <col min="80" max="80" width="7.453125" style="631" hidden="1" customWidth="1"/>
    <col min="81" max="81" width="9.08984375" style="631" hidden="1" customWidth="1"/>
    <col min="82" max="82" width="6.6328125" style="631" hidden="1" customWidth="1"/>
    <col min="83" max="83" width="6" style="631" hidden="1" customWidth="1"/>
    <col min="84" max="84" width="7.453125" style="631" hidden="1" customWidth="1"/>
    <col min="85" max="85" width="9.08984375" style="631" hidden="1" customWidth="1"/>
    <col min="86" max="86" width="6.36328125" style="631" hidden="1" customWidth="1"/>
    <col min="87" max="87" width="6.453125" style="631" hidden="1" customWidth="1"/>
    <col min="88" max="88" width="7.453125" style="631" hidden="1" customWidth="1"/>
    <col min="89" max="89" width="9.08984375" style="631" hidden="1" customWidth="1"/>
    <col min="90" max="91" width="6.453125" style="631" hidden="1" customWidth="1"/>
    <col min="92" max="92" width="7.453125" style="631" hidden="1" customWidth="1"/>
    <col min="93" max="93" width="8.984375E-2" style="631" hidden="1" customWidth="1"/>
    <col min="94" max="95" width="6.453125" style="631" hidden="1" customWidth="1"/>
    <col min="96" max="96" width="7.6328125" style="631" hidden="1" customWidth="1"/>
    <col min="97" max="97" width="9.08984375" style="631" hidden="1" customWidth="1"/>
    <col min="98" max="98" width="6.453125" style="631" hidden="1" customWidth="1"/>
    <col min="99" max="99" width="6.6328125" style="631" hidden="1" customWidth="1"/>
    <col min="100" max="100" width="7.90625" style="631" hidden="1" customWidth="1"/>
    <col min="101" max="101" width="9.08984375" style="631" hidden="1" customWidth="1"/>
    <col min="102" max="102" width="6.453125" style="631" hidden="1" customWidth="1"/>
    <col min="103" max="103" width="6.08984375" style="631" hidden="1" customWidth="1"/>
    <col min="104" max="104" width="8" style="631" hidden="1" customWidth="1"/>
    <col min="105" max="105" width="7.36328125" style="631" hidden="1" customWidth="1"/>
    <col min="106" max="107" width="6.6328125" style="631" hidden="1" customWidth="1"/>
    <col min="108" max="108" width="8" style="631" hidden="1" customWidth="1"/>
    <col min="109" max="109" width="9.08984375" style="631" hidden="1" customWidth="1"/>
    <col min="110" max="110" width="6.453125" style="631" hidden="1" customWidth="1"/>
    <col min="111" max="111" width="6.6328125" style="631" hidden="1" customWidth="1"/>
    <col min="112" max="112" width="8.08984375" style="631" hidden="1" customWidth="1"/>
    <col min="113" max="113" width="9.08984375" style="631" hidden="1" customWidth="1"/>
    <col min="114" max="114" width="7" style="631" hidden="1" customWidth="1"/>
    <col min="115" max="115" width="6.6328125" style="631" hidden="1" customWidth="1"/>
    <col min="116" max="116" width="8.08984375" style="631" hidden="1" customWidth="1"/>
    <col min="117" max="117" width="9.08984375" style="631" hidden="1" customWidth="1"/>
    <col min="118" max="119" width="6.453125" style="631" hidden="1" customWidth="1"/>
    <col min="120" max="120" width="8.36328125" style="631" hidden="1" customWidth="1"/>
    <col min="121" max="121" width="9.08984375" style="631" hidden="1" customWidth="1"/>
    <col min="122" max="122" width="6.90625" style="631" hidden="1" customWidth="1"/>
    <col min="123" max="123" width="6.08984375" style="631" hidden="1" customWidth="1"/>
    <col min="124" max="124" width="8.90625" style="631" hidden="1" customWidth="1"/>
    <col min="125" max="125" width="7.6328125" style="631" hidden="1" customWidth="1"/>
    <col min="126" max="126" width="6.453125" style="631" hidden="1" customWidth="1"/>
    <col min="127" max="127" width="6.08984375" style="631" hidden="1" customWidth="1"/>
    <col min="128" max="128" width="8" style="631" hidden="1" customWidth="1"/>
    <col min="129" max="130" width="7.08984375" style="631" hidden="1" customWidth="1"/>
    <col min="131" max="131" width="6.08984375" style="631" hidden="1" customWidth="1"/>
    <col min="132" max="132" width="8.453125" style="631" hidden="1" customWidth="1"/>
    <col min="133" max="133" width="9.08984375" style="631" hidden="1" customWidth="1"/>
    <col min="134" max="135" width="6.453125" style="631" hidden="1" customWidth="1"/>
    <col min="136" max="136" width="8.36328125" style="631" hidden="1" customWidth="1"/>
    <col min="137" max="137" width="8.453125" style="631" hidden="1" customWidth="1"/>
    <col min="138" max="138" width="7" style="631" hidden="1" customWidth="1"/>
    <col min="139" max="139" width="7.08984375" style="631" hidden="1" customWidth="1"/>
    <col min="140" max="140" width="8.36328125" style="631" hidden="1" customWidth="1"/>
    <col min="141" max="141" width="9.08984375" style="631" hidden="1" customWidth="1"/>
    <col min="142" max="142" width="6.90625" style="631" hidden="1" customWidth="1"/>
    <col min="143" max="143" width="7.453125" style="631" hidden="1" customWidth="1"/>
    <col min="144" max="144" width="8.36328125" style="631" hidden="1" customWidth="1"/>
    <col min="145" max="145" width="9.08984375" style="631" hidden="1" customWidth="1"/>
    <col min="146" max="146" width="7.36328125" style="631" hidden="1" customWidth="1"/>
    <col min="147" max="147" width="7" style="631" hidden="1" customWidth="1"/>
    <col min="148" max="148" width="8.36328125" style="631" hidden="1" customWidth="1"/>
    <col min="149" max="149" width="9.08984375" style="631" hidden="1" customWidth="1"/>
    <col min="150" max="150" width="6.90625" style="631" hidden="1" customWidth="1"/>
    <col min="151" max="151" width="7" style="631" hidden="1" customWidth="1"/>
    <col min="152" max="152" width="8.453125" style="631" hidden="1" customWidth="1"/>
    <col min="153" max="153" width="9.08984375" style="631" hidden="1" customWidth="1"/>
    <col min="154" max="154" width="7.08984375" style="631" hidden="1" customWidth="1"/>
    <col min="155" max="155" width="6.08984375" style="631" hidden="1" customWidth="1"/>
    <col min="156" max="157" width="7.453125" style="631" hidden="1" customWidth="1"/>
    <col min="158" max="158" width="8.08984375" style="631" hidden="1" customWidth="1"/>
    <col min="159" max="159" width="6.08984375" style="631" hidden="1" customWidth="1"/>
    <col min="160" max="160" width="7.90625" style="631" hidden="1" customWidth="1"/>
    <col min="161" max="161" width="9.08984375" style="631" hidden="1" customWidth="1"/>
    <col min="162" max="162" width="7" style="631" hidden="1" customWidth="1"/>
    <col min="163" max="163" width="6.08984375" style="631" hidden="1" customWidth="1"/>
    <col min="164" max="164" width="7.453125" style="631" hidden="1" customWidth="1"/>
    <col min="165" max="165" width="9.08984375" style="631" hidden="1" customWidth="1"/>
    <col min="166" max="166" width="7.36328125" style="631" hidden="1" customWidth="1"/>
    <col min="167" max="167" width="6.453125" style="631" hidden="1" customWidth="1"/>
    <col min="168" max="168" width="8.36328125" style="631" hidden="1" customWidth="1"/>
    <col min="169" max="169" width="9.08984375" style="631" hidden="1" customWidth="1"/>
    <col min="170" max="170" width="7.36328125" style="631" hidden="1" customWidth="1"/>
    <col min="171" max="171" width="6.90625" style="631" hidden="1" customWidth="1"/>
    <col min="172" max="172" width="8.36328125" style="631" hidden="1" customWidth="1"/>
    <col min="173" max="173" width="9.08984375" style="631" hidden="1" customWidth="1"/>
    <col min="174" max="174" width="7.453125" style="631" hidden="1" customWidth="1"/>
    <col min="175" max="175" width="7" style="631" hidden="1" customWidth="1"/>
    <col min="176" max="176" width="8.453125" style="631" hidden="1" customWidth="1"/>
    <col min="177" max="177" width="9.08984375" style="631" hidden="1" customWidth="1"/>
    <col min="178" max="178" width="7.08984375" style="631" hidden="1" customWidth="1"/>
    <col min="179" max="179" width="6.90625" style="631" hidden="1" customWidth="1"/>
    <col min="180" max="180" width="8.08984375" style="631" hidden="1" customWidth="1"/>
    <col min="181" max="181" width="9.08984375" style="631" hidden="1" customWidth="1"/>
    <col min="182" max="182" width="7.453125" style="631" hidden="1" customWidth="1"/>
    <col min="183" max="183" width="6.6328125" style="631" hidden="1" customWidth="1"/>
    <col min="184" max="184" width="7.90625" style="631" hidden="1" customWidth="1"/>
    <col min="185" max="185" width="9.08984375" style="631" hidden="1" customWidth="1"/>
    <col min="186" max="186" width="7.36328125" style="631" hidden="1" customWidth="1"/>
    <col min="187" max="187" width="7" style="631" hidden="1" customWidth="1"/>
    <col min="188" max="188" width="8.36328125" style="631" hidden="1" customWidth="1"/>
    <col min="189" max="189" width="9.08984375" style="631" hidden="1" customWidth="1"/>
    <col min="190" max="190" width="7.453125" style="631" hidden="1" customWidth="1"/>
    <col min="191" max="191" width="7.08984375" style="631" hidden="1" customWidth="1"/>
    <col min="192" max="193" width="8.453125" style="631" hidden="1" customWidth="1"/>
    <col min="194" max="194" width="7.08984375" style="631" hidden="1" customWidth="1"/>
    <col min="195" max="195" width="7.453125" style="631" hidden="1" customWidth="1"/>
    <col min="196" max="196" width="7.90625" style="631" hidden="1" customWidth="1"/>
    <col min="197" max="197" width="9.08984375" style="631" hidden="1" customWidth="1"/>
    <col min="198" max="198" width="6.453125" style="631" hidden="1" customWidth="1"/>
    <col min="199" max="199" width="7.08984375" style="631" hidden="1" customWidth="1"/>
    <col min="200" max="200" width="8.36328125" style="631" hidden="1" customWidth="1"/>
    <col min="201" max="201" width="9.08984375" style="631" hidden="1" customWidth="1"/>
    <col min="202" max="202" width="7" style="631" hidden="1" customWidth="1"/>
    <col min="203" max="203" width="7.36328125" style="631" hidden="1" customWidth="1"/>
    <col min="204" max="204" width="8.90625" style="631" hidden="1" customWidth="1"/>
    <col min="205" max="205" width="9.08984375" style="631" hidden="1" customWidth="1"/>
    <col min="206" max="206" width="7.453125" style="631" hidden="1" customWidth="1"/>
    <col min="207" max="207" width="8.90625" style="631" hidden="1" customWidth="1"/>
    <col min="208" max="208" width="9.6328125" style="631" hidden="1" customWidth="1"/>
    <col min="209" max="209" width="9.08984375" style="631" hidden="1" customWidth="1"/>
    <col min="210" max="211" width="8.08984375" style="631" hidden="1" customWidth="1"/>
    <col min="212" max="212" width="8.90625" style="631" hidden="1" customWidth="1"/>
    <col min="213" max="213" width="9.08984375" style="631" hidden="1" customWidth="1"/>
    <col min="214" max="214" width="8.08984375" style="631" hidden="1" customWidth="1"/>
    <col min="215" max="215" width="8.6328125" style="631" hidden="1" customWidth="1"/>
    <col min="216" max="216" width="9.453125" style="631" hidden="1" customWidth="1"/>
    <col min="217" max="217" width="9.08984375" style="631" hidden="1" customWidth="1"/>
    <col min="218" max="218" width="7.08984375" style="631" hidden="1" customWidth="1"/>
    <col min="219" max="219" width="8.6328125" style="631" customWidth="1"/>
    <col min="220" max="220" width="9.453125" style="631" customWidth="1"/>
    <col min="221" max="221" width="9.08984375" style="631" hidden="1" customWidth="1"/>
    <col min="222" max="222" width="7.08984375" style="631" customWidth="1"/>
    <col min="223" max="223" width="8.6328125" style="631" customWidth="1"/>
    <col min="224" max="224" width="9.453125" style="631" customWidth="1"/>
    <col min="225" max="225" width="9.08984375" style="631" hidden="1" customWidth="1"/>
    <col min="226" max="226" width="8.90625" style="631" customWidth="1"/>
    <col min="227" max="227" width="8.6328125" style="631" customWidth="1"/>
    <col min="228" max="228" width="9.453125" style="631" customWidth="1"/>
    <col min="229" max="229" width="9.08984375" style="631" hidden="1" customWidth="1"/>
    <col min="230" max="230" width="8.90625" style="631" customWidth="1"/>
    <col min="231" max="16384" width="9.08984375" style="631"/>
  </cols>
  <sheetData>
    <row r="1" spans="2:230" ht="18.75" customHeight="1" x14ac:dyDescent="0.35">
      <c r="B1" s="1283" t="s">
        <v>709</v>
      </c>
      <c r="C1" s="1283"/>
      <c r="D1" s="1283"/>
      <c r="E1" s="1283"/>
      <c r="F1" s="1283"/>
      <c r="G1" s="1283"/>
      <c r="H1" s="1283"/>
      <c r="I1" s="1283"/>
      <c r="J1" s="1283"/>
      <c r="K1" s="1283"/>
      <c r="L1" s="1283"/>
      <c r="M1" s="1283"/>
      <c r="N1" s="1283"/>
      <c r="O1" s="1283"/>
      <c r="P1" s="1283"/>
      <c r="Q1" s="1283"/>
      <c r="R1" s="1283"/>
      <c r="S1" s="1283"/>
      <c r="T1" s="1283"/>
      <c r="U1" s="1283"/>
      <c r="V1" s="1283"/>
      <c r="W1" s="1283"/>
      <c r="X1" s="1283"/>
      <c r="Y1" s="1283"/>
      <c r="Z1" s="1283"/>
      <c r="AA1" s="1283"/>
      <c r="AB1" s="1283"/>
      <c r="AC1" s="1283"/>
      <c r="AD1" s="1283"/>
      <c r="AE1" s="1283"/>
      <c r="AF1" s="1283"/>
      <c r="AG1" s="1283"/>
      <c r="AH1" s="1283"/>
      <c r="AI1" s="1283"/>
      <c r="AJ1" s="1283"/>
      <c r="AK1" s="1283"/>
      <c r="AL1" s="1283"/>
      <c r="AM1" s="1283"/>
      <c r="AN1" s="1283"/>
      <c r="AO1" s="1283"/>
      <c r="AP1" s="1283"/>
      <c r="AQ1" s="1283"/>
      <c r="AR1" s="1283"/>
      <c r="AS1" s="1283"/>
      <c r="AT1" s="1283"/>
      <c r="AU1" s="1283"/>
      <c r="AV1" s="1283"/>
      <c r="AW1" s="1283"/>
      <c r="AX1" s="1283"/>
      <c r="AY1" s="1283"/>
      <c r="AZ1" s="1283"/>
      <c r="BA1" s="1283"/>
      <c r="BB1" s="1283"/>
      <c r="BC1" s="1283"/>
      <c r="BD1" s="1283"/>
      <c r="BE1" s="1283"/>
      <c r="BF1" s="1283"/>
      <c r="BG1" s="1283"/>
      <c r="BH1" s="1283"/>
      <c r="BI1" s="1283"/>
      <c r="BJ1" s="1283"/>
      <c r="BK1" s="1283"/>
      <c r="BL1" s="1283"/>
      <c r="BM1" s="1283"/>
      <c r="BN1" s="1283"/>
      <c r="BO1" s="1283"/>
      <c r="BP1" s="1283"/>
      <c r="BQ1" s="1283"/>
      <c r="BR1" s="1283"/>
      <c r="BS1" s="1283"/>
      <c r="BT1" s="1283"/>
      <c r="BU1" s="1283"/>
      <c r="BV1" s="1283"/>
      <c r="BW1" s="1283"/>
      <c r="BX1" s="1283"/>
      <c r="BY1" s="1283"/>
      <c r="BZ1" s="1283"/>
      <c r="CA1" s="1283"/>
      <c r="CB1" s="1283"/>
      <c r="CC1" s="1283"/>
      <c r="CD1" s="1283"/>
      <c r="CE1" s="1283"/>
      <c r="CF1" s="1283"/>
      <c r="CG1" s="1283"/>
      <c r="CH1" s="1283"/>
      <c r="CI1" s="1283"/>
      <c r="CJ1" s="1283"/>
      <c r="CK1" s="1283"/>
      <c r="CL1" s="1283"/>
      <c r="CM1" s="1283"/>
      <c r="CN1" s="1283"/>
      <c r="CO1" s="1283"/>
      <c r="CP1" s="1283"/>
      <c r="CQ1" s="1283"/>
      <c r="CR1" s="1283"/>
      <c r="CS1" s="1283"/>
      <c r="CT1" s="1283"/>
      <c r="CU1" s="1283"/>
      <c r="CV1" s="1283"/>
      <c r="CW1" s="1283"/>
      <c r="CX1" s="1283"/>
      <c r="CY1" s="1283"/>
      <c r="CZ1" s="1283"/>
      <c r="DA1" s="1283"/>
      <c r="DB1" s="1283"/>
      <c r="DC1" s="1283"/>
      <c r="DD1" s="1283"/>
      <c r="DE1" s="1283"/>
      <c r="DF1" s="1283"/>
      <c r="DG1" s="1283"/>
      <c r="DH1" s="1283"/>
      <c r="DI1" s="1283"/>
      <c r="DJ1" s="1283"/>
      <c r="DK1" s="1283"/>
      <c r="DL1" s="1283"/>
      <c r="DM1" s="1283"/>
      <c r="DN1" s="1283"/>
      <c r="DO1" s="1283"/>
      <c r="DP1" s="1283"/>
      <c r="DQ1" s="1283"/>
      <c r="DR1" s="1283"/>
      <c r="DS1" s="1283"/>
      <c r="DT1" s="1283"/>
      <c r="DU1" s="1283"/>
      <c r="DV1" s="1283"/>
      <c r="DW1" s="1283"/>
      <c r="DX1" s="1283"/>
      <c r="DY1" s="1283"/>
      <c r="DZ1" s="1283"/>
      <c r="EA1" s="1283"/>
      <c r="EB1" s="1283"/>
      <c r="EC1" s="1283"/>
      <c r="ED1" s="1283"/>
      <c r="EE1" s="1283"/>
      <c r="EF1" s="1283"/>
      <c r="EG1" s="1283"/>
      <c r="EH1" s="1283"/>
      <c r="EI1" s="1283"/>
      <c r="EJ1" s="1283"/>
      <c r="EK1" s="1283"/>
      <c r="EL1" s="1283"/>
      <c r="EM1" s="1283"/>
      <c r="EN1" s="1283"/>
      <c r="EO1" s="1283"/>
      <c r="EP1" s="1283"/>
      <c r="EQ1" s="1283"/>
      <c r="ER1" s="1283"/>
      <c r="ES1" s="1283"/>
      <c r="ET1" s="1283"/>
      <c r="EU1" s="1283"/>
      <c r="EV1" s="1283"/>
      <c r="EW1" s="1283"/>
      <c r="EX1" s="1283"/>
      <c r="EY1" s="1283"/>
      <c r="EZ1" s="1283"/>
      <c r="FA1" s="1283"/>
      <c r="FB1" s="1283"/>
      <c r="FC1" s="1283"/>
      <c r="FD1" s="1283"/>
      <c r="FE1" s="1283"/>
      <c r="FF1" s="1283"/>
      <c r="FG1" s="1283"/>
      <c r="FH1" s="1283"/>
      <c r="FI1" s="1283"/>
      <c r="FJ1" s="1283"/>
      <c r="FK1" s="1283"/>
      <c r="FL1" s="1283"/>
      <c r="FM1" s="1283"/>
      <c r="FN1" s="1283"/>
      <c r="FO1" s="1283"/>
      <c r="FP1" s="1283"/>
      <c r="FQ1" s="1283"/>
      <c r="FR1" s="1283"/>
      <c r="FS1" s="1283"/>
      <c r="FT1" s="1283"/>
      <c r="FU1" s="1283"/>
      <c r="FV1" s="1283"/>
      <c r="FW1" s="1283"/>
      <c r="FX1" s="1283"/>
      <c r="FY1" s="1283"/>
      <c r="FZ1" s="1283"/>
      <c r="GA1" s="1283"/>
      <c r="GB1" s="1283"/>
      <c r="GC1" s="1283"/>
      <c r="GD1" s="1283"/>
      <c r="GE1" s="1283"/>
      <c r="GF1" s="1283"/>
      <c r="GG1" s="1283"/>
      <c r="GH1" s="1283"/>
      <c r="GI1" s="1283"/>
      <c r="GJ1" s="1283"/>
      <c r="GK1" s="1283"/>
      <c r="GL1" s="1283"/>
      <c r="GM1" s="1283"/>
      <c r="GN1" s="1283"/>
      <c r="GO1" s="1283"/>
      <c r="GP1" s="1283"/>
      <c r="GQ1" s="1283"/>
      <c r="GR1" s="1283"/>
      <c r="GS1" s="1283"/>
      <c r="GT1" s="1283"/>
      <c r="GU1" s="1283"/>
      <c r="GV1" s="1283"/>
      <c r="GW1" s="1283"/>
      <c r="GX1" s="1283"/>
      <c r="GY1" s="1283"/>
      <c r="GZ1" s="1283"/>
      <c r="HA1" s="1283"/>
      <c r="HB1" s="1283"/>
      <c r="HC1" s="1283"/>
      <c r="HD1" s="1283"/>
      <c r="HE1" s="1283"/>
      <c r="HF1" s="1283"/>
      <c r="HG1" s="1283"/>
      <c r="HH1" s="1283"/>
      <c r="HI1" s="1283"/>
      <c r="HJ1" s="1283"/>
      <c r="HK1" s="1283"/>
      <c r="HL1" s="1283"/>
      <c r="HM1" s="1283"/>
      <c r="HN1" s="1283"/>
      <c r="HO1" s="1283"/>
      <c r="HP1" s="1283"/>
      <c r="HQ1" s="1283"/>
      <c r="HR1" s="1283"/>
      <c r="HS1" s="1283"/>
      <c r="HT1" s="1283"/>
      <c r="HU1" s="1283"/>
      <c r="HV1" s="1283"/>
    </row>
    <row r="2" spans="2:230" ht="15.75" customHeight="1" thickBot="1" x14ac:dyDescent="0.4">
      <c r="B2" s="800" t="s">
        <v>437</v>
      </c>
      <c r="C2" s="797"/>
      <c r="D2" s="797"/>
      <c r="E2" s="797"/>
      <c r="F2" s="797"/>
      <c r="G2" s="797"/>
      <c r="H2" s="797"/>
      <c r="I2" s="797"/>
      <c r="J2" s="797"/>
      <c r="K2" s="797"/>
      <c r="L2" s="797"/>
      <c r="M2" s="797"/>
      <c r="N2" s="797"/>
      <c r="O2" s="797"/>
      <c r="P2" s="797"/>
      <c r="Q2" s="797"/>
      <c r="R2" s="797"/>
      <c r="S2" s="797"/>
      <c r="T2" s="797"/>
      <c r="U2" s="797"/>
      <c r="V2" s="799"/>
      <c r="W2" s="797"/>
      <c r="X2" s="797"/>
      <c r="Y2" s="797"/>
      <c r="Z2" s="799"/>
      <c r="AA2" s="797"/>
      <c r="AB2" s="797"/>
      <c r="AC2" s="797"/>
      <c r="AD2" s="799"/>
      <c r="AE2" s="797"/>
      <c r="AF2" s="798"/>
      <c r="AG2" s="797"/>
      <c r="AI2" s="797"/>
      <c r="AJ2" s="798"/>
      <c r="AK2" s="797"/>
      <c r="AL2" s="798"/>
      <c r="AM2" s="797"/>
      <c r="AN2" s="798"/>
      <c r="AO2" s="797"/>
      <c r="AP2" s="798"/>
      <c r="AQ2" s="797"/>
      <c r="AR2" s="798"/>
      <c r="AS2" s="797"/>
      <c r="AT2" s="798"/>
      <c r="AU2" s="797"/>
      <c r="AV2" s="798"/>
      <c r="AW2" s="797"/>
      <c r="AX2" s="798"/>
      <c r="AY2" s="797"/>
      <c r="AZ2" s="762"/>
      <c r="BA2" s="797"/>
      <c r="BC2" s="797"/>
      <c r="BD2" s="762"/>
      <c r="BE2" s="797"/>
      <c r="BG2" s="797"/>
      <c r="BH2" s="762"/>
      <c r="BI2" s="797"/>
      <c r="BK2" s="797"/>
      <c r="BM2" s="797"/>
      <c r="BQ2" s="762" t="s">
        <v>144</v>
      </c>
      <c r="HR2" s="154"/>
      <c r="HV2" s="154" t="s">
        <v>144</v>
      </c>
    </row>
    <row r="3" spans="2:230" x14ac:dyDescent="0.35">
      <c r="B3" s="796"/>
      <c r="C3" s="1359" t="s">
        <v>594</v>
      </c>
      <c r="D3" s="1355"/>
      <c r="E3" s="1355"/>
      <c r="F3" s="1357"/>
      <c r="G3" s="1358" t="s">
        <v>593</v>
      </c>
      <c r="H3" s="1355"/>
      <c r="I3" s="1355"/>
      <c r="J3" s="1357"/>
      <c r="K3" s="1358" t="s">
        <v>592</v>
      </c>
      <c r="L3" s="1355"/>
      <c r="M3" s="1355"/>
      <c r="N3" s="1357"/>
      <c r="O3" s="1358" t="s">
        <v>591</v>
      </c>
      <c r="P3" s="1355"/>
      <c r="Q3" s="1355"/>
      <c r="R3" s="1357"/>
      <c r="S3" s="1354" t="s">
        <v>708</v>
      </c>
      <c r="T3" s="1355"/>
      <c r="U3" s="1355"/>
      <c r="V3" s="1357"/>
      <c r="W3" s="1354" t="s">
        <v>589</v>
      </c>
      <c r="X3" s="1355"/>
      <c r="Y3" s="1355"/>
      <c r="Z3" s="1357"/>
      <c r="AA3" s="1358" t="s">
        <v>707</v>
      </c>
      <c r="AB3" s="1355"/>
      <c r="AC3" s="1355"/>
      <c r="AD3" s="1357"/>
      <c r="AE3" s="1358" t="s">
        <v>706</v>
      </c>
      <c r="AF3" s="1355"/>
      <c r="AG3" s="1355"/>
      <c r="AH3" s="1357"/>
      <c r="AI3" s="1354" t="s">
        <v>586</v>
      </c>
      <c r="AJ3" s="1355"/>
      <c r="AK3" s="1355"/>
      <c r="AL3" s="1357"/>
      <c r="AM3" s="1354" t="s">
        <v>705</v>
      </c>
      <c r="AN3" s="1355"/>
      <c r="AO3" s="1355"/>
      <c r="AP3" s="1357"/>
      <c r="AQ3" s="1358" t="s">
        <v>704</v>
      </c>
      <c r="AR3" s="1355"/>
      <c r="AS3" s="1355"/>
      <c r="AT3" s="1357"/>
      <c r="AU3" s="1354" t="s">
        <v>703</v>
      </c>
      <c r="AV3" s="1355"/>
      <c r="AW3" s="1355"/>
      <c r="AX3" s="1357"/>
      <c r="AY3" s="1354" t="s">
        <v>422</v>
      </c>
      <c r="AZ3" s="1355"/>
      <c r="BA3" s="1355"/>
      <c r="BB3" s="1357"/>
      <c r="BC3" s="1354" t="s">
        <v>702</v>
      </c>
      <c r="BD3" s="1355"/>
      <c r="BE3" s="1355"/>
      <c r="BF3" s="1357"/>
      <c r="BG3" s="1354" t="s">
        <v>420</v>
      </c>
      <c r="BH3" s="1355"/>
      <c r="BI3" s="1355"/>
      <c r="BJ3" s="1357"/>
      <c r="BK3" s="1354" t="s">
        <v>701</v>
      </c>
      <c r="BL3" s="1355"/>
      <c r="BM3" s="1355"/>
      <c r="BN3" s="1357"/>
      <c r="BO3" s="1358">
        <v>42445</v>
      </c>
      <c r="BP3" s="1355"/>
      <c r="BQ3" s="1355"/>
      <c r="BR3" s="1357"/>
      <c r="BS3" s="1358">
        <v>42537</v>
      </c>
      <c r="BT3" s="1355"/>
      <c r="BU3" s="1355"/>
      <c r="BV3" s="1357"/>
      <c r="BW3" s="1354" t="s">
        <v>416</v>
      </c>
      <c r="BX3" s="1355"/>
      <c r="BY3" s="1355"/>
      <c r="BZ3" s="1357"/>
      <c r="CA3" s="1354" t="s">
        <v>700</v>
      </c>
      <c r="CB3" s="1355"/>
      <c r="CC3" s="1355"/>
      <c r="CD3" s="1357"/>
      <c r="CE3" s="1354" t="s">
        <v>699</v>
      </c>
      <c r="CF3" s="1355"/>
      <c r="CG3" s="1355"/>
      <c r="CH3" s="1357"/>
      <c r="CI3" s="1354" t="s">
        <v>698</v>
      </c>
      <c r="CJ3" s="1355"/>
      <c r="CK3" s="1355"/>
      <c r="CL3" s="1357"/>
      <c r="CM3" s="1354" t="s">
        <v>697</v>
      </c>
      <c r="CN3" s="1355"/>
      <c r="CO3" s="1355"/>
      <c r="CP3" s="1357"/>
      <c r="CQ3" s="1354" t="s">
        <v>696</v>
      </c>
      <c r="CR3" s="1355"/>
      <c r="CS3" s="1355"/>
      <c r="CT3" s="1357"/>
      <c r="CU3" s="1354" t="s">
        <v>695</v>
      </c>
      <c r="CV3" s="1355"/>
      <c r="CW3" s="1355"/>
      <c r="CX3" s="1357"/>
      <c r="CY3" s="1354" t="s">
        <v>694</v>
      </c>
      <c r="CZ3" s="1355"/>
      <c r="DA3" s="1355"/>
      <c r="DB3" s="1357"/>
      <c r="DC3" s="1354" t="s">
        <v>693</v>
      </c>
      <c r="DD3" s="1355"/>
      <c r="DE3" s="1355"/>
      <c r="DF3" s="1357"/>
      <c r="DG3" s="1354" t="s">
        <v>692</v>
      </c>
      <c r="DH3" s="1355"/>
      <c r="DI3" s="1355"/>
      <c r="DJ3" s="1357"/>
      <c r="DK3" s="1354" t="s">
        <v>691</v>
      </c>
      <c r="DL3" s="1355"/>
      <c r="DM3" s="1355"/>
      <c r="DN3" s="1357"/>
      <c r="DO3" s="1354" t="s">
        <v>405</v>
      </c>
      <c r="DP3" s="1355"/>
      <c r="DQ3" s="1355"/>
      <c r="DR3" s="1357"/>
      <c r="DS3" s="1354" t="s">
        <v>404</v>
      </c>
      <c r="DT3" s="1355"/>
      <c r="DU3" s="1355"/>
      <c r="DV3" s="1357"/>
      <c r="DW3" s="1354" t="s">
        <v>403</v>
      </c>
      <c r="DX3" s="1355"/>
      <c r="DY3" s="1355"/>
      <c r="DZ3" s="1357"/>
      <c r="EA3" s="1354" t="s">
        <v>402</v>
      </c>
      <c r="EB3" s="1355"/>
      <c r="EC3" s="1355"/>
      <c r="ED3" s="1357"/>
      <c r="EE3" s="1354" t="s">
        <v>401</v>
      </c>
      <c r="EF3" s="1355"/>
      <c r="EG3" s="1355"/>
      <c r="EH3" s="1357"/>
      <c r="EI3" s="1354" t="s">
        <v>400</v>
      </c>
      <c r="EJ3" s="1355"/>
      <c r="EK3" s="1355"/>
      <c r="EL3" s="1357"/>
      <c r="EM3" s="1354" t="s">
        <v>399</v>
      </c>
      <c r="EN3" s="1355"/>
      <c r="EO3" s="1355"/>
      <c r="EP3" s="1357"/>
      <c r="EQ3" s="1354" t="s">
        <v>398</v>
      </c>
      <c r="ER3" s="1355"/>
      <c r="ES3" s="1355"/>
      <c r="ET3" s="1357"/>
      <c r="EU3" s="1354" t="s">
        <v>690</v>
      </c>
      <c r="EV3" s="1355"/>
      <c r="EW3" s="1355"/>
      <c r="EX3" s="1357"/>
      <c r="EY3" s="1354" t="s">
        <v>396</v>
      </c>
      <c r="EZ3" s="1355"/>
      <c r="FA3" s="1355"/>
      <c r="FB3" s="1357"/>
      <c r="FC3" s="1354" t="s">
        <v>395</v>
      </c>
      <c r="FD3" s="1355"/>
      <c r="FE3" s="1355"/>
      <c r="FF3" s="1357"/>
      <c r="FG3" s="1354" t="s">
        <v>394</v>
      </c>
      <c r="FH3" s="1355"/>
      <c r="FI3" s="1355"/>
      <c r="FJ3" s="1357"/>
      <c r="FK3" s="1354" t="s">
        <v>689</v>
      </c>
      <c r="FL3" s="1355"/>
      <c r="FM3" s="1355"/>
      <c r="FN3" s="1357"/>
      <c r="FO3" s="1354" t="s">
        <v>392</v>
      </c>
      <c r="FP3" s="1355"/>
      <c r="FQ3" s="1355"/>
      <c r="FR3" s="1357"/>
      <c r="FS3" s="1354" t="s">
        <v>391</v>
      </c>
      <c r="FT3" s="1355"/>
      <c r="FU3" s="1355"/>
      <c r="FV3" s="1357"/>
      <c r="FW3" s="1354" t="s">
        <v>390</v>
      </c>
      <c r="FX3" s="1355"/>
      <c r="FY3" s="1355"/>
      <c r="FZ3" s="1357"/>
      <c r="GA3" s="1354" t="s">
        <v>389</v>
      </c>
      <c r="GB3" s="1355"/>
      <c r="GC3" s="1355"/>
      <c r="GD3" s="1357"/>
      <c r="GE3" s="1354" t="s">
        <v>388</v>
      </c>
      <c r="GF3" s="1355"/>
      <c r="GG3" s="1355"/>
      <c r="GH3" s="1357"/>
      <c r="GI3" s="1354" t="s">
        <v>387</v>
      </c>
      <c r="GJ3" s="1355"/>
      <c r="GK3" s="1355"/>
      <c r="GL3" s="1357"/>
      <c r="GM3" s="1354" t="s">
        <v>386</v>
      </c>
      <c r="GN3" s="1355"/>
      <c r="GO3" s="1355"/>
      <c r="GP3" s="1357"/>
      <c r="GQ3" s="1354" t="s">
        <v>688</v>
      </c>
      <c r="GR3" s="1355"/>
      <c r="GS3" s="1355"/>
      <c r="GT3" s="1357"/>
      <c r="GU3" s="1354" t="s">
        <v>687</v>
      </c>
      <c r="GV3" s="1355"/>
      <c r="GW3" s="1355"/>
      <c r="GX3" s="1357"/>
      <c r="GY3" s="1354" t="s">
        <v>543</v>
      </c>
      <c r="GZ3" s="1355"/>
      <c r="HA3" s="1355"/>
      <c r="HB3" s="1357"/>
      <c r="HC3" s="1354" t="s">
        <v>542</v>
      </c>
      <c r="HD3" s="1355"/>
      <c r="HE3" s="1355"/>
      <c r="HF3" s="1357"/>
      <c r="HG3" s="1354" t="s">
        <v>541</v>
      </c>
      <c r="HH3" s="1355"/>
      <c r="HI3" s="1355"/>
      <c r="HJ3" s="1356"/>
      <c r="HK3" s="1354" t="s">
        <v>803</v>
      </c>
      <c r="HL3" s="1355"/>
      <c r="HM3" s="1355"/>
      <c r="HN3" s="1356"/>
      <c r="HO3" s="1354" t="s">
        <v>904</v>
      </c>
      <c r="HP3" s="1355"/>
      <c r="HQ3" s="1355"/>
      <c r="HR3" s="1356"/>
      <c r="HS3" s="1354" t="s">
        <v>901</v>
      </c>
      <c r="HT3" s="1355"/>
      <c r="HU3" s="1355"/>
      <c r="HV3" s="1356"/>
    </row>
    <row r="4" spans="2:230" x14ac:dyDescent="0.35">
      <c r="B4" s="350"/>
      <c r="C4" s="795" t="s">
        <v>540</v>
      </c>
      <c r="D4" s="792" t="s">
        <v>539</v>
      </c>
      <c r="E4" s="792" t="s">
        <v>538</v>
      </c>
      <c r="F4" s="794" t="s">
        <v>112</v>
      </c>
      <c r="G4" s="793" t="s">
        <v>540</v>
      </c>
      <c r="H4" s="792" t="s">
        <v>539</v>
      </c>
      <c r="I4" s="792" t="s">
        <v>538</v>
      </c>
      <c r="J4" s="794" t="s">
        <v>112</v>
      </c>
      <c r="K4" s="793" t="s">
        <v>540</v>
      </c>
      <c r="L4" s="792" t="s">
        <v>539</v>
      </c>
      <c r="M4" s="792" t="s">
        <v>538</v>
      </c>
      <c r="N4" s="794" t="s">
        <v>112</v>
      </c>
      <c r="O4" s="793" t="s">
        <v>540</v>
      </c>
      <c r="P4" s="792" t="s">
        <v>539</v>
      </c>
      <c r="Q4" s="792" t="s">
        <v>538</v>
      </c>
      <c r="R4" s="794" t="s">
        <v>112</v>
      </c>
      <c r="S4" s="793" t="s">
        <v>540</v>
      </c>
      <c r="T4" s="792" t="s">
        <v>539</v>
      </c>
      <c r="U4" s="792" t="s">
        <v>538</v>
      </c>
      <c r="V4" s="794" t="s">
        <v>112</v>
      </c>
      <c r="W4" s="793" t="s">
        <v>540</v>
      </c>
      <c r="X4" s="792" t="s">
        <v>539</v>
      </c>
      <c r="Y4" s="792" t="s">
        <v>538</v>
      </c>
      <c r="Z4" s="794" t="s">
        <v>112</v>
      </c>
      <c r="AA4" s="793" t="s">
        <v>540</v>
      </c>
      <c r="AB4" s="792" t="s">
        <v>539</v>
      </c>
      <c r="AC4" s="792" t="s">
        <v>538</v>
      </c>
      <c r="AD4" s="794" t="s">
        <v>112</v>
      </c>
      <c r="AE4" s="793" t="s">
        <v>540</v>
      </c>
      <c r="AF4" s="792" t="s">
        <v>539</v>
      </c>
      <c r="AG4" s="792" t="s">
        <v>538</v>
      </c>
      <c r="AH4" s="794" t="s">
        <v>112</v>
      </c>
      <c r="AI4" s="793" t="s">
        <v>540</v>
      </c>
      <c r="AJ4" s="792" t="s">
        <v>539</v>
      </c>
      <c r="AK4" s="792" t="s">
        <v>538</v>
      </c>
      <c r="AL4" s="794" t="s">
        <v>112</v>
      </c>
      <c r="AM4" s="793" t="s">
        <v>540</v>
      </c>
      <c r="AN4" s="792" t="s">
        <v>539</v>
      </c>
      <c r="AO4" s="792" t="s">
        <v>538</v>
      </c>
      <c r="AP4" s="794" t="s">
        <v>112</v>
      </c>
      <c r="AQ4" s="793" t="s">
        <v>540</v>
      </c>
      <c r="AR4" s="792" t="s">
        <v>539</v>
      </c>
      <c r="AS4" s="792" t="s">
        <v>538</v>
      </c>
      <c r="AT4" s="794" t="s">
        <v>112</v>
      </c>
      <c r="AU4" s="793" t="s">
        <v>540</v>
      </c>
      <c r="AV4" s="792" t="s">
        <v>539</v>
      </c>
      <c r="AW4" s="792" t="s">
        <v>538</v>
      </c>
      <c r="AX4" s="794" t="s">
        <v>112</v>
      </c>
      <c r="AY4" s="793" t="s">
        <v>540</v>
      </c>
      <c r="AZ4" s="792" t="s">
        <v>539</v>
      </c>
      <c r="BA4" s="792" t="s">
        <v>538</v>
      </c>
      <c r="BB4" s="794" t="s">
        <v>112</v>
      </c>
      <c r="BC4" s="793" t="s">
        <v>540</v>
      </c>
      <c r="BD4" s="792" t="s">
        <v>539</v>
      </c>
      <c r="BE4" s="792" t="s">
        <v>538</v>
      </c>
      <c r="BF4" s="794" t="s">
        <v>112</v>
      </c>
      <c r="BG4" s="793" t="s">
        <v>540</v>
      </c>
      <c r="BH4" s="792" t="s">
        <v>539</v>
      </c>
      <c r="BI4" s="792" t="s">
        <v>538</v>
      </c>
      <c r="BJ4" s="794" t="s">
        <v>112</v>
      </c>
      <c r="BK4" s="793" t="s">
        <v>540</v>
      </c>
      <c r="BL4" s="792" t="s">
        <v>539</v>
      </c>
      <c r="BM4" s="792" t="s">
        <v>538</v>
      </c>
      <c r="BN4" s="794" t="s">
        <v>112</v>
      </c>
      <c r="BO4" s="793" t="s">
        <v>540</v>
      </c>
      <c r="BP4" s="792" t="s">
        <v>539</v>
      </c>
      <c r="BQ4" s="792" t="s">
        <v>538</v>
      </c>
      <c r="BR4" s="794" t="s">
        <v>112</v>
      </c>
      <c r="BS4" s="793" t="s">
        <v>540</v>
      </c>
      <c r="BT4" s="792" t="s">
        <v>539</v>
      </c>
      <c r="BU4" s="792" t="s">
        <v>538</v>
      </c>
      <c r="BV4" s="794" t="s">
        <v>112</v>
      </c>
      <c r="BW4" s="793" t="s">
        <v>540</v>
      </c>
      <c r="BX4" s="792" t="s">
        <v>539</v>
      </c>
      <c r="BY4" s="792" t="s">
        <v>538</v>
      </c>
      <c r="BZ4" s="794" t="s">
        <v>112</v>
      </c>
      <c r="CA4" s="793" t="s">
        <v>540</v>
      </c>
      <c r="CB4" s="792" t="s">
        <v>539</v>
      </c>
      <c r="CC4" s="792" t="s">
        <v>538</v>
      </c>
      <c r="CD4" s="794" t="s">
        <v>112</v>
      </c>
      <c r="CE4" s="793" t="s">
        <v>540</v>
      </c>
      <c r="CF4" s="792" t="s">
        <v>539</v>
      </c>
      <c r="CG4" s="792" t="s">
        <v>538</v>
      </c>
      <c r="CH4" s="794" t="s">
        <v>112</v>
      </c>
      <c r="CI4" s="793" t="s">
        <v>540</v>
      </c>
      <c r="CJ4" s="792" t="s">
        <v>539</v>
      </c>
      <c r="CK4" s="792" t="s">
        <v>538</v>
      </c>
      <c r="CL4" s="794" t="s">
        <v>112</v>
      </c>
      <c r="CM4" s="793" t="s">
        <v>540</v>
      </c>
      <c r="CN4" s="792" t="s">
        <v>539</v>
      </c>
      <c r="CO4" s="792" t="s">
        <v>538</v>
      </c>
      <c r="CP4" s="794" t="s">
        <v>112</v>
      </c>
      <c r="CQ4" s="793" t="s">
        <v>540</v>
      </c>
      <c r="CR4" s="792" t="s">
        <v>539</v>
      </c>
      <c r="CS4" s="792" t="s">
        <v>538</v>
      </c>
      <c r="CT4" s="794" t="s">
        <v>112</v>
      </c>
      <c r="CU4" s="793" t="s">
        <v>540</v>
      </c>
      <c r="CV4" s="792" t="s">
        <v>539</v>
      </c>
      <c r="CW4" s="792" t="s">
        <v>538</v>
      </c>
      <c r="CX4" s="794" t="s">
        <v>112</v>
      </c>
      <c r="CY4" s="793" t="s">
        <v>540</v>
      </c>
      <c r="CZ4" s="792" t="s">
        <v>539</v>
      </c>
      <c r="DA4" s="792" t="s">
        <v>538</v>
      </c>
      <c r="DB4" s="794" t="s">
        <v>112</v>
      </c>
      <c r="DC4" s="793" t="s">
        <v>540</v>
      </c>
      <c r="DD4" s="792" t="s">
        <v>539</v>
      </c>
      <c r="DE4" s="792" t="s">
        <v>538</v>
      </c>
      <c r="DF4" s="794" t="s">
        <v>112</v>
      </c>
      <c r="DG4" s="793" t="s">
        <v>540</v>
      </c>
      <c r="DH4" s="792" t="s">
        <v>539</v>
      </c>
      <c r="DI4" s="792" t="s">
        <v>538</v>
      </c>
      <c r="DJ4" s="794" t="s">
        <v>112</v>
      </c>
      <c r="DK4" s="793" t="s">
        <v>540</v>
      </c>
      <c r="DL4" s="792" t="s">
        <v>539</v>
      </c>
      <c r="DM4" s="792" t="s">
        <v>538</v>
      </c>
      <c r="DN4" s="794" t="s">
        <v>112</v>
      </c>
      <c r="DO4" s="793" t="s">
        <v>540</v>
      </c>
      <c r="DP4" s="792" t="s">
        <v>539</v>
      </c>
      <c r="DQ4" s="792" t="s">
        <v>538</v>
      </c>
      <c r="DR4" s="794" t="s">
        <v>112</v>
      </c>
      <c r="DS4" s="793" t="s">
        <v>540</v>
      </c>
      <c r="DT4" s="792" t="s">
        <v>539</v>
      </c>
      <c r="DU4" s="792" t="s">
        <v>538</v>
      </c>
      <c r="DV4" s="794" t="s">
        <v>112</v>
      </c>
      <c r="DW4" s="793" t="s">
        <v>540</v>
      </c>
      <c r="DX4" s="792" t="s">
        <v>539</v>
      </c>
      <c r="DY4" s="792" t="s">
        <v>538</v>
      </c>
      <c r="DZ4" s="794" t="s">
        <v>112</v>
      </c>
      <c r="EA4" s="793" t="s">
        <v>540</v>
      </c>
      <c r="EB4" s="792" t="s">
        <v>539</v>
      </c>
      <c r="EC4" s="792" t="s">
        <v>538</v>
      </c>
      <c r="ED4" s="794" t="s">
        <v>112</v>
      </c>
      <c r="EE4" s="793" t="s">
        <v>540</v>
      </c>
      <c r="EF4" s="792" t="s">
        <v>539</v>
      </c>
      <c r="EG4" s="792" t="s">
        <v>538</v>
      </c>
      <c r="EH4" s="794" t="s">
        <v>112</v>
      </c>
      <c r="EI4" s="793" t="s">
        <v>540</v>
      </c>
      <c r="EJ4" s="792" t="s">
        <v>539</v>
      </c>
      <c r="EK4" s="792" t="s">
        <v>538</v>
      </c>
      <c r="EL4" s="794" t="s">
        <v>112</v>
      </c>
      <c r="EM4" s="793" t="s">
        <v>540</v>
      </c>
      <c r="EN4" s="792" t="s">
        <v>539</v>
      </c>
      <c r="EO4" s="792" t="s">
        <v>538</v>
      </c>
      <c r="EP4" s="794" t="s">
        <v>112</v>
      </c>
      <c r="EQ4" s="793" t="s">
        <v>540</v>
      </c>
      <c r="ER4" s="792" t="s">
        <v>539</v>
      </c>
      <c r="ES4" s="792" t="s">
        <v>538</v>
      </c>
      <c r="ET4" s="794" t="s">
        <v>112</v>
      </c>
      <c r="EU4" s="793" t="s">
        <v>540</v>
      </c>
      <c r="EV4" s="792" t="s">
        <v>539</v>
      </c>
      <c r="EW4" s="792" t="s">
        <v>538</v>
      </c>
      <c r="EX4" s="794" t="s">
        <v>112</v>
      </c>
      <c r="EY4" s="793" t="s">
        <v>540</v>
      </c>
      <c r="EZ4" s="792" t="s">
        <v>539</v>
      </c>
      <c r="FA4" s="792" t="s">
        <v>538</v>
      </c>
      <c r="FB4" s="794" t="s">
        <v>112</v>
      </c>
      <c r="FC4" s="793" t="s">
        <v>540</v>
      </c>
      <c r="FD4" s="792" t="s">
        <v>539</v>
      </c>
      <c r="FE4" s="792" t="s">
        <v>538</v>
      </c>
      <c r="FF4" s="794" t="s">
        <v>112</v>
      </c>
      <c r="FG4" s="793" t="s">
        <v>540</v>
      </c>
      <c r="FH4" s="792" t="s">
        <v>539</v>
      </c>
      <c r="FI4" s="792" t="s">
        <v>538</v>
      </c>
      <c r="FJ4" s="794" t="s">
        <v>112</v>
      </c>
      <c r="FK4" s="793" t="s">
        <v>540</v>
      </c>
      <c r="FL4" s="792" t="s">
        <v>539</v>
      </c>
      <c r="FM4" s="792" t="s">
        <v>538</v>
      </c>
      <c r="FN4" s="794" t="s">
        <v>112</v>
      </c>
      <c r="FO4" s="793" t="s">
        <v>540</v>
      </c>
      <c r="FP4" s="792" t="s">
        <v>539</v>
      </c>
      <c r="FQ4" s="792" t="s">
        <v>538</v>
      </c>
      <c r="FR4" s="794" t="s">
        <v>112</v>
      </c>
      <c r="FS4" s="793" t="s">
        <v>540</v>
      </c>
      <c r="FT4" s="792" t="s">
        <v>539</v>
      </c>
      <c r="FU4" s="792" t="s">
        <v>538</v>
      </c>
      <c r="FV4" s="794" t="s">
        <v>112</v>
      </c>
      <c r="FW4" s="793" t="s">
        <v>540</v>
      </c>
      <c r="FX4" s="792" t="s">
        <v>539</v>
      </c>
      <c r="FY4" s="792" t="s">
        <v>538</v>
      </c>
      <c r="FZ4" s="794" t="s">
        <v>112</v>
      </c>
      <c r="GA4" s="793" t="s">
        <v>540</v>
      </c>
      <c r="GB4" s="792" t="s">
        <v>539</v>
      </c>
      <c r="GC4" s="792" t="s">
        <v>538</v>
      </c>
      <c r="GD4" s="794" t="s">
        <v>112</v>
      </c>
      <c r="GE4" s="793" t="s">
        <v>540</v>
      </c>
      <c r="GF4" s="792" t="s">
        <v>539</v>
      </c>
      <c r="GG4" s="792" t="s">
        <v>538</v>
      </c>
      <c r="GH4" s="794" t="s">
        <v>112</v>
      </c>
      <c r="GI4" s="793" t="s">
        <v>540</v>
      </c>
      <c r="GJ4" s="792" t="s">
        <v>539</v>
      </c>
      <c r="GK4" s="792" t="s">
        <v>538</v>
      </c>
      <c r="GL4" s="794" t="s">
        <v>112</v>
      </c>
      <c r="GM4" s="793" t="s">
        <v>540</v>
      </c>
      <c r="GN4" s="792" t="s">
        <v>539</v>
      </c>
      <c r="GO4" s="792" t="s">
        <v>538</v>
      </c>
      <c r="GP4" s="794" t="s">
        <v>112</v>
      </c>
      <c r="GQ4" s="793" t="s">
        <v>540</v>
      </c>
      <c r="GR4" s="792" t="s">
        <v>539</v>
      </c>
      <c r="GS4" s="792" t="s">
        <v>538</v>
      </c>
      <c r="GT4" s="794" t="s">
        <v>112</v>
      </c>
      <c r="GU4" s="793" t="s">
        <v>540</v>
      </c>
      <c r="GV4" s="792" t="s">
        <v>539</v>
      </c>
      <c r="GW4" s="792" t="s">
        <v>538</v>
      </c>
      <c r="GX4" s="794" t="s">
        <v>112</v>
      </c>
      <c r="GY4" s="793" t="s">
        <v>540</v>
      </c>
      <c r="GZ4" s="792" t="s">
        <v>539</v>
      </c>
      <c r="HA4" s="792" t="s">
        <v>538</v>
      </c>
      <c r="HB4" s="794" t="s">
        <v>112</v>
      </c>
      <c r="HC4" s="793" t="s">
        <v>540</v>
      </c>
      <c r="HD4" s="792" t="s">
        <v>539</v>
      </c>
      <c r="HE4" s="792" t="s">
        <v>538</v>
      </c>
      <c r="HF4" s="794" t="s">
        <v>112</v>
      </c>
      <c r="HG4" s="793" t="s">
        <v>540</v>
      </c>
      <c r="HH4" s="982" t="s">
        <v>539</v>
      </c>
      <c r="HI4" s="982" t="s">
        <v>538</v>
      </c>
      <c r="HJ4" s="791" t="s">
        <v>112</v>
      </c>
      <c r="HK4" s="793" t="s">
        <v>540</v>
      </c>
      <c r="HL4" s="982" t="s">
        <v>539</v>
      </c>
      <c r="HM4" s="982" t="s">
        <v>538</v>
      </c>
      <c r="HN4" s="791" t="s">
        <v>112</v>
      </c>
      <c r="HO4" s="793" t="s">
        <v>540</v>
      </c>
      <c r="HP4" s="982" t="s">
        <v>539</v>
      </c>
      <c r="HQ4" s="982" t="s">
        <v>538</v>
      </c>
      <c r="HR4" s="791" t="s">
        <v>112</v>
      </c>
      <c r="HS4" s="793" t="s">
        <v>540</v>
      </c>
      <c r="HT4" s="1047" t="s">
        <v>539</v>
      </c>
      <c r="HU4" s="1047" t="s">
        <v>538</v>
      </c>
      <c r="HV4" s="791" t="s">
        <v>112</v>
      </c>
    </row>
    <row r="5" spans="2:230" x14ac:dyDescent="0.35">
      <c r="B5" s="350"/>
      <c r="C5" s="147"/>
      <c r="D5" s="146"/>
      <c r="E5" s="146"/>
      <c r="F5" s="790"/>
      <c r="G5" s="403"/>
      <c r="H5" s="146"/>
      <c r="I5" s="146"/>
      <c r="J5" s="790"/>
      <c r="K5" s="403"/>
      <c r="L5" s="146"/>
      <c r="M5" s="146"/>
      <c r="N5" s="790"/>
      <c r="O5" s="403"/>
      <c r="P5" s="146"/>
      <c r="Q5" s="146"/>
      <c r="R5" s="790"/>
      <c r="S5" s="403"/>
      <c r="T5" s="146"/>
      <c r="U5" s="146"/>
      <c r="V5" s="790"/>
      <c r="W5" s="403"/>
      <c r="X5" s="146"/>
      <c r="Y5" s="146"/>
      <c r="Z5" s="790"/>
      <c r="AA5" s="403"/>
      <c r="AB5" s="146"/>
      <c r="AC5" s="146"/>
      <c r="AD5" s="790"/>
      <c r="AE5" s="403"/>
      <c r="AF5" s="146"/>
      <c r="AG5" s="146"/>
      <c r="AH5" s="790"/>
      <c r="AI5" s="403"/>
      <c r="AJ5" s="146"/>
      <c r="AK5" s="146"/>
      <c r="AL5" s="790"/>
      <c r="AM5" s="403"/>
      <c r="AN5" s="146"/>
      <c r="AO5" s="146"/>
      <c r="AP5" s="790"/>
      <c r="AQ5" s="403"/>
      <c r="AR5" s="146"/>
      <c r="AS5" s="146"/>
      <c r="AT5" s="790"/>
      <c r="AU5" s="403"/>
      <c r="AV5" s="146"/>
      <c r="AW5" s="146"/>
      <c r="AX5" s="790"/>
      <c r="AY5" s="403"/>
      <c r="AZ5" s="146"/>
      <c r="BA5" s="146"/>
      <c r="BB5" s="790"/>
      <c r="BC5" s="403"/>
      <c r="BD5" s="146"/>
      <c r="BE5" s="146"/>
      <c r="BF5" s="790"/>
      <c r="BG5" s="403"/>
      <c r="BH5" s="146"/>
      <c r="BI5" s="146"/>
      <c r="BJ5" s="790"/>
      <c r="BK5" s="403"/>
      <c r="BL5" s="146"/>
      <c r="BM5" s="146"/>
      <c r="BN5" s="790"/>
      <c r="BO5" s="403"/>
      <c r="BP5" s="146"/>
      <c r="BQ5" s="146"/>
      <c r="BR5" s="790"/>
      <c r="BS5" s="403"/>
      <c r="BT5" s="146"/>
      <c r="BU5" s="146"/>
      <c r="BV5" s="790"/>
      <c r="BW5" s="403"/>
      <c r="BX5" s="146"/>
      <c r="BY5" s="146"/>
      <c r="BZ5" s="790"/>
      <c r="CA5" s="403"/>
      <c r="CB5" s="146"/>
      <c r="CC5" s="146"/>
      <c r="CD5" s="790"/>
      <c r="CE5" s="403"/>
      <c r="CF5" s="146"/>
      <c r="CG5" s="146"/>
      <c r="CH5" s="790"/>
      <c r="CI5" s="403"/>
      <c r="CJ5" s="146"/>
      <c r="CK5" s="146"/>
      <c r="CL5" s="790"/>
      <c r="CM5" s="403"/>
      <c r="CN5" s="146"/>
      <c r="CO5" s="146"/>
      <c r="CP5" s="790"/>
      <c r="CQ5" s="403"/>
      <c r="CR5" s="146"/>
      <c r="CS5" s="146"/>
      <c r="CT5" s="790"/>
      <c r="CU5" s="403"/>
      <c r="CV5" s="146"/>
      <c r="CW5" s="146"/>
      <c r="CX5" s="790"/>
      <c r="CY5" s="403"/>
      <c r="CZ5" s="146"/>
      <c r="DA5" s="146"/>
      <c r="DB5" s="790"/>
      <c r="DC5" s="403"/>
      <c r="DD5" s="146"/>
      <c r="DE5" s="146"/>
      <c r="DF5" s="790"/>
      <c r="DG5" s="403"/>
      <c r="DH5" s="146"/>
      <c r="DI5" s="146"/>
      <c r="DJ5" s="790"/>
      <c r="DK5" s="403"/>
      <c r="DL5" s="146"/>
      <c r="DM5" s="146"/>
      <c r="DN5" s="790"/>
      <c r="DO5" s="403"/>
      <c r="DP5" s="146"/>
      <c r="DQ5" s="146"/>
      <c r="DR5" s="790"/>
      <c r="DS5" s="403"/>
      <c r="DT5" s="146"/>
      <c r="DU5" s="146"/>
      <c r="DV5" s="790"/>
      <c r="DW5" s="403"/>
      <c r="DX5" s="146"/>
      <c r="DY5" s="146"/>
      <c r="DZ5" s="790"/>
      <c r="EA5" s="403"/>
      <c r="EB5" s="146"/>
      <c r="EC5" s="146"/>
      <c r="ED5" s="790"/>
      <c r="EE5" s="403"/>
      <c r="EF5" s="146"/>
      <c r="EG5" s="146"/>
      <c r="EH5" s="790"/>
      <c r="EI5" s="403"/>
      <c r="EJ5" s="146"/>
      <c r="EK5" s="146"/>
      <c r="EL5" s="790"/>
      <c r="EM5" s="403"/>
      <c r="EN5" s="146"/>
      <c r="EO5" s="146"/>
      <c r="EP5" s="790"/>
      <c r="EQ5" s="403"/>
      <c r="ER5" s="146"/>
      <c r="ES5" s="146"/>
      <c r="ET5" s="790"/>
      <c r="EU5" s="403"/>
      <c r="EV5" s="146"/>
      <c r="EW5" s="146"/>
      <c r="EX5" s="790"/>
      <c r="EY5" s="403"/>
      <c r="EZ5" s="146"/>
      <c r="FA5" s="146"/>
      <c r="FB5" s="790"/>
      <c r="FC5" s="403"/>
      <c r="FD5" s="146"/>
      <c r="FE5" s="146"/>
      <c r="FF5" s="790"/>
      <c r="FG5" s="403"/>
      <c r="FH5" s="146"/>
      <c r="FI5" s="146"/>
      <c r="FJ5" s="790"/>
      <c r="FK5" s="403"/>
      <c r="FL5" s="146"/>
      <c r="FM5" s="146"/>
      <c r="FN5" s="790"/>
      <c r="FO5" s="403"/>
      <c r="FP5" s="146"/>
      <c r="FQ5" s="146"/>
      <c r="FR5" s="790"/>
      <c r="FS5" s="403"/>
      <c r="FT5" s="146"/>
      <c r="FU5" s="146"/>
      <c r="FV5" s="790"/>
      <c r="FW5" s="403"/>
      <c r="FX5" s="146"/>
      <c r="FY5" s="146"/>
      <c r="FZ5" s="790"/>
      <c r="GA5" s="403"/>
      <c r="GB5" s="146"/>
      <c r="GC5" s="146"/>
      <c r="GD5" s="790"/>
      <c r="GE5" s="403"/>
      <c r="GF5" s="146"/>
      <c r="GG5" s="146"/>
      <c r="GH5" s="790"/>
      <c r="GI5" s="403"/>
      <c r="GJ5" s="146"/>
      <c r="GK5" s="146"/>
      <c r="GL5" s="790"/>
      <c r="GM5" s="403"/>
      <c r="GN5" s="146"/>
      <c r="GO5" s="146"/>
      <c r="GP5" s="790"/>
      <c r="GQ5" s="403"/>
      <c r="GR5" s="146"/>
      <c r="GS5" s="146"/>
      <c r="GT5" s="790"/>
      <c r="GU5" s="403"/>
      <c r="GV5" s="146"/>
      <c r="GW5" s="146"/>
      <c r="GX5" s="790"/>
      <c r="GY5" s="403"/>
      <c r="GZ5" s="146"/>
      <c r="HA5" s="146"/>
      <c r="HB5" s="790"/>
      <c r="HC5" s="403"/>
      <c r="HD5" s="146"/>
      <c r="HE5" s="146"/>
      <c r="HF5" s="790"/>
      <c r="HG5" s="403"/>
      <c r="HH5" s="146"/>
      <c r="HI5" s="146"/>
      <c r="HJ5" s="789"/>
      <c r="HK5" s="403"/>
      <c r="HL5" s="146"/>
      <c r="HM5" s="146"/>
      <c r="HN5" s="789"/>
      <c r="HO5" s="403"/>
      <c r="HP5" s="146"/>
      <c r="HQ5" s="146"/>
      <c r="HR5" s="789"/>
      <c r="HS5" s="403"/>
      <c r="HT5" s="146"/>
      <c r="HU5" s="146"/>
      <c r="HV5" s="789"/>
    </row>
    <row r="6" spans="2:230" x14ac:dyDescent="0.35">
      <c r="B6" s="788" t="s">
        <v>141</v>
      </c>
      <c r="C6" s="131"/>
      <c r="D6" s="122"/>
      <c r="E6" s="122"/>
      <c r="F6" s="757"/>
      <c r="G6" s="377"/>
      <c r="H6" s="122"/>
      <c r="I6" s="122"/>
      <c r="J6" s="757"/>
      <c r="K6" s="377"/>
      <c r="L6" s="122"/>
      <c r="M6" s="122"/>
      <c r="N6" s="757"/>
      <c r="O6" s="377"/>
      <c r="P6" s="122"/>
      <c r="Q6" s="122"/>
      <c r="R6" s="757"/>
      <c r="S6" s="377"/>
      <c r="T6" s="122"/>
      <c r="U6" s="122"/>
      <c r="V6" s="757"/>
      <c r="W6" s="377"/>
      <c r="X6" s="122"/>
      <c r="Y6" s="122"/>
      <c r="Z6" s="757"/>
      <c r="AA6" s="377"/>
      <c r="AB6" s="122"/>
      <c r="AC6" s="122"/>
      <c r="AD6" s="757"/>
      <c r="AE6" s="377"/>
      <c r="AF6" s="122"/>
      <c r="AG6" s="122"/>
      <c r="AH6" s="757"/>
      <c r="AI6" s="377"/>
      <c r="AJ6" s="122"/>
      <c r="AK6" s="122"/>
      <c r="AL6" s="757"/>
      <c r="AM6" s="377"/>
      <c r="AN6" s="122"/>
      <c r="AO6" s="122"/>
      <c r="AP6" s="757"/>
      <c r="AQ6" s="377"/>
      <c r="AR6" s="122"/>
      <c r="AS6" s="122"/>
      <c r="AT6" s="757"/>
      <c r="AU6" s="377"/>
      <c r="AV6" s="122"/>
      <c r="AW6" s="122"/>
      <c r="AX6" s="757"/>
      <c r="AY6" s="377"/>
      <c r="AZ6" s="122"/>
      <c r="BA6" s="122"/>
      <c r="BB6" s="757"/>
      <c r="BC6" s="377"/>
      <c r="BD6" s="122"/>
      <c r="BE6" s="122"/>
      <c r="BF6" s="757"/>
      <c r="BG6" s="377"/>
      <c r="BH6" s="122"/>
      <c r="BI6" s="122"/>
      <c r="BJ6" s="757"/>
      <c r="BK6" s="377"/>
      <c r="BL6" s="122"/>
      <c r="BM6" s="122"/>
      <c r="BN6" s="757"/>
      <c r="BO6" s="377"/>
      <c r="BP6" s="122"/>
      <c r="BQ6" s="122"/>
      <c r="BR6" s="757"/>
      <c r="BS6" s="377"/>
      <c r="BT6" s="122"/>
      <c r="BU6" s="122"/>
      <c r="BV6" s="757"/>
      <c r="BW6" s="377"/>
      <c r="BX6" s="122"/>
      <c r="BY6" s="122"/>
      <c r="BZ6" s="757"/>
      <c r="CA6" s="377"/>
      <c r="CB6" s="122"/>
      <c r="CC6" s="122"/>
      <c r="CD6" s="757"/>
      <c r="CE6" s="377"/>
      <c r="CF6" s="122"/>
      <c r="CG6" s="122"/>
      <c r="CH6" s="757"/>
      <c r="CI6" s="377"/>
      <c r="CJ6" s="122"/>
      <c r="CK6" s="122"/>
      <c r="CL6" s="757"/>
      <c r="CM6" s="377"/>
      <c r="CN6" s="122"/>
      <c r="CO6" s="122"/>
      <c r="CP6" s="757"/>
      <c r="CQ6" s="377"/>
      <c r="CR6" s="122"/>
      <c r="CS6" s="122"/>
      <c r="CT6" s="757"/>
      <c r="CU6" s="377"/>
      <c r="CV6" s="122"/>
      <c r="CW6" s="122"/>
      <c r="CX6" s="757"/>
      <c r="CY6" s="377"/>
      <c r="CZ6" s="122"/>
      <c r="DA6" s="122"/>
      <c r="DB6" s="757"/>
      <c r="DC6" s="377"/>
      <c r="DD6" s="122"/>
      <c r="DE6" s="122"/>
      <c r="DF6" s="757"/>
      <c r="DG6" s="377"/>
      <c r="DH6" s="122"/>
      <c r="DI6" s="122"/>
      <c r="DJ6" s="757"/>
      <c r="DK6" s="377"/>
      <c r="DL6" s="122"/>
      <c r="DM6" s="122"/>
      <c r="DN6" s="757"/>
      <c r="DO6" s="377"/>
      <c r="DP6" s="122"/>
      <c r="DQ6" s="122"/>
      <c r="DR6" s="757"/>
      <c r="DS6" s="377"/>
      <c r="DT6" s="122"/>
      <c r="DU6" s="122"/>
      <c r="DV6" s="757"/>
      <c r="DW6" s="377"/>
      <c r="DX6" s="122"/>
      <c r="DY6" s="122"/>
      <c r="DZ6" s="757"/>
      <c r="EA6" s="377"/>
      <c r="EB6" s="122"/>
      <c r="EC6" s="122"/>
      <c r="ED6" s="757"/>
      <c r="EE6" s="377"/>
      <c r="EF6" s="122"/>
      <c r="EG6" s="122"/>
      <c r="EH6" s="757"/>
      <c r="EI6" s="377"/>
      <c r="EJ6" s="122"/>
      <c r="EK6" s="122"/>
      <c r="EL6" s="757"/>
      <c r="EM6" s="377"/>
      <c r="EN6" s="122"/>
      <c r="EO6" s="122"/>
      <c r="EP6" s="757"/>
      <c r="EQ6" s="377"/>
      <c r="ER6" s="122"/>
      <c r="ES6" s="122"/>
      <c r="ET6" s="757"/>
      <c r="EU6" s="377"/>
      <c r="EV6" s="122"/>
      <c r="EW6" s="122"/>
      <c r="EX6" s="757"/>
      <c r="EY6" s="377"/>
      <c r="EZ6" s="122"/>
      <c r="FA6" s="122"/>
      <c r="FB6" s="757"/>
      <c r="FC6" s="377"/>
      <c r="FD6" s="122"/>
      <c r="FE6" s="122"/>
      <c r="FF6" s="757"/>
      <c r="FG6" s="377"/>
      <c r="FH6" s="122"/>
      <c r="FI6" s="122"/>
      <c r="FJ6" s="757"/>
      <c r="FK6" s="377"/>
      <c r="FL6" s="122"/>
      <c r="FM6" s="122"/>
      <c r="FN6" s="757"/>
      <c r="FO6" s="377"/>
      <c r="FP6" s="122"/>
      <c r="FQ6" s="122"/>
      <c r="FR6" s="757"/>
      <c r="FS6" s="377"/>
      <c r="FT6" s="122"/>
      <c r="FU6" s="122"/>
      <c r="FV6" s="757"/>
      <c r="FW6" s="377"/>
      <c r="FX6" s="122"/>
      <c r="FY6" s="122"/>
      <c r="FZ6" s="757"/>
      <c r="GA6" s="377"/>
      <c r="GB6" s="122"/>
      <c r="GC6" s="122"/>
      <c r="GD6" s="757"/>
      <c r="GE6" s="377"/>
      <c r="GF6" s="122"/>
      <c r="GG6" s="122"/>
      <c r="GH6" s="757"/>
      <c r="GI6" s="377"/>
      <c r="GJ6" s="122"/>
      <c r="GK6" s="122"/>
      <c r="GL6" s="757"/>
      <c r="GM6" s="377"/>
      <c r="GN6" s="122"/>
      <c r="GO6" s="122"/>
      <c r="GP6" s="757"/>
      <c r="GQ6" s="377"/>
      <c r="GR6" s="122"/>
      <c r="GS6" s="122"/>
      <c r="GT6" s="757"/>
      <c r="GU6" s="377"/>
      <c r="GV6" s="122"/>
      <c r="GW6" s="122"/>
      <c r="GX6" s="757"/>
      <c r="GY6" s="377"/>
      <c r="GZ6" s="122"/>
      <c r="HA6" s="122"/>
      <c r="HB6" s="757"/>
      <c r="HC6" s="377"/>
      <c r="HD6" s="122"/>
      <c r="HE6" s="122"/>
      <c r="HF6" s="757"/>
      <c r="HG6" s="377"/>
      <c r="HH6" s="122"/>
      <c r="HI6" s="122"/>
      <c r="HJ6" s="787"/>
      <c r="HK6" s="377"/>
      <c r="HL6" s="122"/>
      <c r="HM6" s="122"/>
      <c r="HN6" s="787"/>
      <c r="HO6" s="377"/>
      <c r="HP6" s="122"/>
      <c r="HQ6" s="122"/>
      <c r="HR6" s="787"/>
      <c r="HS6" s="377"/>
      <c r="HT6" s="122"/>
      <c r="HU6" s="122"/>
      <c r="HV6" s="787"/>
    </row>
    <row r="7" spans="2:230" ht="7.5" customHeight="1" x14ac:dyDescent="0.35">
      <c r="B7" s="350"/>
      <c r="C7" s="131"/>
      <c r="D7" s="122"/>
      <c r="E7" s="122"/>
      <c r="F7" s="757"/>
      <c r="G7" s="377"/>
      <c r="H7" s="122"/>
      <c r="I7" s="122"/>
      <c r="J7" s="757"/>
      <c r="K7" s="377"/>
      <c r="L7" s="122"/>
      <c r="M7" s="122"/>
      <c r="N7" s="757"/>
      <c r="O7" s="377"/>
      <c r="P7" s="122"/>
      <c r="Q7" s="122"/>
      <c r="R7" s="757"/>
      <c r="S7" s="377"/>
      <c r="T7" s="122"/>
      <c r="U7" s="122"/>
      <c r="V7" s="757"/>
      <c r="W7" s="377"/>
      <c r="X7" s="122"/>
      <c r="Y7" s="122"/>
      <c r="Z7" s="757"/>
      <c r="AA7" s="377"/>
      <c r="AB7" s="122"/>
      <c r="AC7" s="122"/>
      <c r="AD7" s="757"/>
      <c r="AE7" s="377"/>
      <c r="AF7" s="122"/>
      <c r="AG7" s="122"/>
      <c r="AH7" s="757"/>
      <c r="AI7" s="377"/>
      <c r="AJ7" s="122"/>
      <c r="AK7" s="122"/>
      <c r="AL7" s="757"/>
      <c r="AM7" s="377"/>
      <c r="AN7" s="122"/>
      <c r="AO7" s="122"/>
      <c r="AP7" s="757"/>
      <c r="AQ7" s="377"/>
      <c r="AR7" s="122"/>
      <c r="AS7" s="122"/>
      <c r="AT7" s="757"/>
      <c r="AU7" s="377"/>
      <c r="AV7" s="122"/>
      <c r="AW7" s="122"/>
      <c r="AX7" s="757"/>
      <c r="AY7" s="377"/>
      <c r="AZ7" s="122"/>
      <c r="BA7" s="122"/>
      <c r="BB7" s="757"/>
      <c r="BC7" s="377"/>
      <c r="BD7" s="122"/>
      <c r="BE7" s="122"/>
      <c r="BF7" s="757"/>
      <c r="BG7" s="377"/>
      <c r="BH7" s="122"/>
      <c r="BI7" s="122"/>
      <c r="BJ7" s="757"/>
      <c r="BK7" s="377"/>
      <c r="BL7" s="122"/>
      <c r="BM7" s="122"/>
      <c r="BN7" s="757"/>
      <c r="BO7" s="377"/>
      <c r="BP7" s="122"/>
      <c r="BQ7" s="122"/>
      <c r="BR7" s="757"/>
      <c r="BS7" s="377"/>
      <c r="BT7" s="122"/>
      <c r="BU7" s="122"/>
      <c r="BV7" s="757"/>
      <c r="BW7" s="377"/>
      <c r="BX7" s="122"/>
      <c r="BY7" s="122"/>
      <c r="BZ7" s="757"/>
      <c r="CA7" s="377"/>
      <c r="CB7" s="122"/>
      <c r="CC7" s="122"/>
      <c r="CD7" s="757"/>
      <c r="CE7" s="377"/>
      <c r="CF7" s="122"/>
      <c r="CG7" s="122"/>
      <c r="CH7" s="757"/>
      <c r="CI7" s="377"/>
      <c r="CJ7" s="122"/>
      <c r="CK7" s="122"/>
      <c r="CL7" s="757"/>
      <c r="CM7" s="377"/>
      <c r="CN7" s="122"/>
      <c r="CO7" s="122"/>
      <c r="CP7" s="757"/>
      <c r="CQ7" s="377"/>
      <c r="CR7" s="122"/>
      <c r="CS7" s="122"/>
      <c r="CT7" s="757"/>
      <c r="CU7" s="377"/>
      <c r="CV7" s="122"/>
      <c r="CW7" s="122"/>
      <c r="CX7" s="757"/>
      <c r="CY7" s="377"/>
      <c r="CZ7" s="122"/>
      <c r="DA7" s="122"/>
      <c r="DB7" s="757"/>
      <c r="DC7" s="377"/>
      <c r="DD7" s="122"/>
      <c r="DE7" s="122"/>
      <c r="DF7" s="757"/>
      <c r="DG7" s="377"/>
      <c r="DH7" s="122"/>
      <c r="DI7" s="122"/>
      <c r="DJ7" s="757"/>
      <c r="DK7" s="377"/>
      <c r="DL7" s="122"/>
      <c r="DM7" s="122"/>
      <c r="DN7" s="757"/>
      <c r="DO7" s="377"/>
      <c r="DP7" s="122"/>
      <c r="DQ7" s="122"/>
      <c r="DR7" s="757"/>
      <c r="DS7" s="377"/>
      <c r="DT7" s="122"/>
      <c r="DU7" s="122"/>
      <c r="DV7" s="757"/>
      <c r="DW7" s="377"/>
      <c r="DX7" s="122"/>
      <c r="DY7" s="122"/>
      <c r="DZ7" s="757"/>
      <c r="EA7" s="377"/>
      <c r="EB7" s="122"/>
      <c r="EC7" s="122"/>
      <c r="ED7" s="757"/>
      <c r="EE7" s="377"/>
      <c r="EF7" s="122"/>
      <c r="EG7" s="122"/>
      <c r="EH7" s="757"/>
      <c r="EI7" s="377"/>
      <c r="EJ7" s="122"/>
      <c r="EK7" s="122"/>
      <c r="EL7" s="757"/>
      <c r="EM7" s="377"/>
      <c r="EN7" s="122"/>
      <c r="EO7" s="122"/>
      <c r="EP7" s="757"/>
      <c r="EQ7" s="377"/>
      <c r="ER7" s="122"/>
      <c r="ES7" s="122"/>
      <c r="ET7" s="757"/>
      <c r="EU7" s="377"/>
      <c r="EV7" s="122"/>
      <c r="EW7" s="122"/>
      <c r="EX7" s="757"/>
      <c r="EY7" s="377"/>
      <c r="EZ7" s="122"/>
      <c r="FA7" s="122"/>
      <c r="FB7" s="757"/>
      <c r="FC7" s="377"/>
      <c r="FD7" s="122"/>
      <c r="FE7" s="122"/>
      <c r="FF7" s="757"/>
      <c r="FG7" s="377"/>
      <c r="FH7" s="122"/>
      <c r="FI7" s="122"/>
      <c r="FJ7" s="757"/>
      <c r="FK7" s="377"/>
      <c r="FL7" s="122"/>
      <c r="FM7" s="122"/>
      <c r="FN7" s="757"/>
      <c r="FO7" s="377"/>
      <c r="FP7" s="122"/>
      <c r="FQ7" s="122"/>
      <c r="FR7" s="757"/>
      <c r="FS7" s="377"/>
      <c r="FT7" s="122"/>
      <c r="FU7" s="122"/>
      <c r="FV7" s="757"/>
      <c r="FW7" s="377"/>
      <c r="FX7" s="122"/>
      <c r="FY7" s="122"/>
      <c r="FZ7" s="757"/>
      <c r="GA7" s="377"/>
      <c r="GB7" s="122"/>
      <c r="GC7" s="122"/>
      <c r="GD7" s="757"/>
      <c r="GE7" s="377"/>
      <c r="GF7" s="122"/>
      <c r="GG7" s="122"/>
      <c r="GH7" s="757"/>
      <c r="GI7" s="377"/>
      <c r="GJ7" s="122"/>
      <c r="GK7" s="122"/>
      <c r="GL7" s="757"/>
      <c r="GM7" s="377"/>
      <c r="GN7" s="122"/>
      <c r="GO7" s="122"/>
      <c r="GP7" s="757"/>
      <c r="GQ7" s="377"/>
      <c r="GR7" s="122"/>
      <c r="GS7" s="122"/>
      <c r="GT7" s="757"/>
      <c r="GU7" s="377"/>
      <c r="GV7" s="122"/>
      <c r="GW7" s="122"/>
      <c r="GX7" s="757"/>
      <c r="GY7" s="377"/>
      <c r="GZ7" s="122"/>
      <c r="HA7" s="122"/>
      <c r="HB7" s="757"/>
      <c r="HC7" s="377"/>
      <c r="HD7" s="122"/>
      <c r="HE7" s="122"/>
      <c r="HF7" s="757"/>
      <c r="HG7" s="377"/>
      <c r="HH7" s="122"/>
      <c r="HI7" s="122"/>
      <c r="HJ7" s="787"/>
      <c r="HK7" s="377"/>
      <c r="HL7" s="122"/>
      <c r="HM7" s="122"/>
      <c r="HN7" s="787"/>
      <c r="HO7" s="377"/>
      <c r="HP7" s="122"/>
      <c r="HQ7" s="122"/>
      <c r="HR7" s="787"/>
      <c r="HS7" s="377"/>
      <c r="HT7" s="122"/>
      <c r="HU7" s="122"/>
      <c r="HV7" s="787"/>
    </row>
    <row r="8" spans="2:230" x14ac:dyDescent="0.35">
      <c r="B8" s="786" t="s">
        <v>686</v>
      </c>
      <c r="C8" s="135">
        <v>4141.3</v>
      </c>
      <c r="D8" s="784">
        <v>6891.5999999999995</v>
      </c>
      <c r="E8" s="782" t="s">
        <v>368</v>
      </c>
      <c r="F8" s="785">
        <v>11032.9</v>
      </c>
      <c r="G8" s="376">
        <v>4161</v>
      </c>
      <c r="H8" s="784">
        <v>6279</v>
      </c>
      <c r="I8" s="782" t="s">
        <v>368</v>
      </c>
      <c r="J8" s="785">
        <v>10440</v>
      </c>
      <c r="K8" s="376">
        <v>4216.6000000000004</v>
      </c>
      <c r="L8" s="784">
        <v>6415.5</v>
      </c>
      <c r="M8" s="782" t="s">
        <v>368</v>
      </c>
      <c r="N8" s="785">
        <v>10632.1</v>
      </c>
      <c r="O8" s="376">
        <v>4383.8</v>
      </c>
      <c r="P8" s="784">
        <v>6852.5</v>
      </c>
      <c r="Q8" s="782" t="s">
        <v>368</v>
      </c>
      <c r="R8" s="785">
        <v>11236.3</v>
      </c>
      <c r="S8" s="376">
        <v>3894</v>
      </c>
      <c r="T8" s="784">
        <v>7663</v>
      </c>
      <c r="U8" s="782" t="s">
        <v>368</v>
      </c>
      <c r="V8" s="785">
        <v>11557</v>
      </c>
      <c r="W8" s="376">
        <v>2627</v>
      </c>
      <c r="X8" s="784">
        <v>7654</v>
      </c>
      <c r="Y8" s="782" t="s">
        <v>368</v>
      </c>
      <c r="Z8" s="785">
        <v>10281</v>
      </c>
      <c r="AA8" s="376">
        <v>2414</v>
      </c>
      <c r="AB8" s="784">
        <v>7523</v>
      </c>
      <c r="AC8" s="782" t="s">
        <v>368</v>
      </c>
      <c r="AD8" s="785">
        <v>9937</v>
      </c>
      <c r="AE8" s="376">
        <v>3880</v>
      </c>
      <c r="AF8" s="784">
        <v>8206</v>
      </c>
      <c r="AG8" s="782" t="s">
        <v>368</v>
      </c>
      <c r="AH8" s="785">
        <v>12086</v>
      </c>
      <c r="AI8" s="376">
        <v>3714</v>
      </c>
      <c r="AJ8" s="784">
        <v>7261</v>
      </c>
      <c r="AK8" s="782" t="s">
        <v>368</v>
      </c>
      <c r="AL8" s="785">
        <v>10975</v>
      </c>
      <c r="AM8" s="376">
        <v>4076</v>
      </c>
      <c r="AN8" s="784">
        <v>5385</v>
      </c>
      <c r="AO8" s="782" t="s">
        <v>368</v>
      </c>
      <c r="AP8" s="785">
        <v>9461</v>
      </c>
      <c r="AQ8" s="376">
        <v>4043</v>
      </c>
      <c r="AR8" s="784">
        <v>5276</v>
      </c>
      <c r="AS8" s="782" t="s">
        <v>368</v>
      </c>
      <c r="AT8" s="785">
        <v>9319</v>
      </c>
      <c r="AU8" s="376">
        <v>4952</v>
      </c>
      <c r="AV8" s="784">
        <v>4936</v>
      </c>
      <c r="AW8" s="782" t="s">
        <v>368</v>
      </c>
      <c r="AX8" s="785">
        <v>9888</v>
      </c>
      <c r="AY8" s="376">
        <v>3847</v>
      </c>
      <c r="AZ8" s="784">
        <v>5582</v>
      </c>
      <c r="BA8" s="782" t="s">
        <v>368</v>
      </c>
      <c r="BB8" s="785">
        <v>9429</v>
      </c>
      <c r="BC8" s="376">
        <v>7119</v>
      </c>
      <c r="BD8" s="784">
        <v>5412</v>
      </c>
      <c r="BE8" s="782" t="s">
        <v>368</v>
      </c>
      <c r="BF8" s="785">
        <v>12531</v>
      </c>
      <c r="BG8" s="376">
        <v>6903</v>
      </c>
      <c r="BH8" s="784">
        <v>5231</v>
      </c>
      <c r="BI8" s="782" t="s">
        <v>368</v>
      </c>
      <c r="BJ8" s="785">
        <v>12134</v>
      </c>
      <c r="BK8" s="376">
        <v>6552</v>
      </c>
      <c r="BL8" s="784">
        <v>5003</v>
      </c>
      <c r="BM8" s="782" t="s">
        <v>368</v>
      </c>
      <c r="BN8" s="785">
        <v>11555</v>
      </c>
      <c r="BO8" s="376">
        <v>6371</v>
      </c>
      <c r="BP8" s="784">
        <v>4385</v>
      </c>
      <c r="BQ8" s="782" t="s">
        <v>368</v>
      </c>
      <c r="BR8" s="785">
        <v>10756</v>
      </c>
      <c r="BS8" s="376">
        <v>6747</v>
      </c>
      <c r="BT8" s="784">
        <v>3956</v>
      </c>
      <c r="BU8" s="782" t="s">
        <v>368</v>
      </c>
      <c r="BV8" s="785">
        <v>10703</v>
      </c>
      <c r="BW8" s="376">
        <v>6448</v>
      </c>
      <c r="BX8" s="784">
        <v>3870</v>
      </c>
      <c r="BY8" s="782" t="s">
        <v>368</v>
      </c>
      <c r="BZ8" s="785">
        <v>10318</v>
      </c>
      <c r="CA8" s="376">
        <v>6528</v>
      </c>
      <c r="CB8" s="784">
        <v>3091</v>
      </c>
      <c r="CC8" s="782" t="s">
        <v>368</v>
      </c>
      <c r="CD8" s="785">
        <v>9619</v>
      </c>
      <c r="CE8" s="376">
        <v>9675</v>
      </c>
      <c r="CF8" s="784">
        <v>2947</v>
      </c>
      <c r="CG8" s="782" t="s">
        <v>368</v>
      </c>
      <c r="CH8" s="785">
        <v>12622</v>
      </c>
      <c r="CI8" s="376">
        <v>9256</v>
      </c>
      <c r="CJ8" s="784">
        <v>2703</v>
      </c>
      <c r="CK8" s="782" t="s">
        <v>368</v>
      </c>
      <c r="CL8" s="785">
        <v>11959</v>
      </c>
      <c r="CM8" s="376">
        <v>15895</v>
      </c>
      <c r="CN8" s="784">
        <v>2356</v>
      </c>
      <c r="CO8" s="782" t="s">
        <v>368</v>
      </c>
      <c r="CP8" s="785">
        <v>18251</v>
      </c>
      <c r="CQ8" s="376">
        <v>15138</v>
      </c>
      <c r="CR8" s="784">
        <v>2280</v>
      </c>
      <c r="CS8" s="782" t="s">
        <v>368</v>
      </c>
      <c r="CT8" s="785">
        <v>17418</v>
      </c>
      <c r="CU8" s="376">
        <v>15668</v>
      </c>
      <c r="CV8" s="784">
        <v>2120</v>
      </c>
      <c r="CW8" s="782" t="s">
        <v>368</v>
      </c>
      <c r="CX8" s="785">
        <v>17788</v>
      </c>
      <c r="CY8" s="376">
        <v>14871</v>
      </c>
      <c r="CZ8" s="784">
        <v>2167</v>
      </c>
      <c r="DA8" s="782" t="s">
        <v>368</v>
      </c>
      <c r="DB8" s="785">
        <v>17038</v>
      </c>
      <c r="DC8" s="376">
        <v>15562</v>
      </c>
      <c r="DD8" s="784">
        <v>1974</v>
      </c>
      <c r="DE8" s="782" t="s">
        <v>368</v>
      </c>
      <c r="DF8" s="785">
        <v>17536</v>
      </c>
      <c r="DG8" s="376">
        <v>21743</v>
      </c>
      <c r="DH8" s="784">
        <v>2628</v>
      </c>
      <c r="DI8" s="782" t="s">
        <v>368</v>
      </c>
      <c r="DJ8" s="785">
        <v>24371</v>
      </c>
      <c r="DK8" s="376">
        <v>20801</v>
      </c>
      <c r="DL8" s="784">
        <v>2710.8</v>
      </c>
      <c r="DM8" s="782" t="s">
        <v>368</v>
      </c>
      <c r="DN8" s="785">
        <v>23511.8</v>
      </c>
      <c r="DO8" s="376">
        <v>21108</v>
      </c>
      <c r="DP8" s="784">
        <v>1832.3</v>
      </c>
      <c r="DQ8" s="782" t="s">
        <v>368</v>
      </c>
      <c r="DR8" s="785">
        <v>22940.3</v>
      </c>
      <c r="DS8" s="376">
        <v>21229</v>
      </c>
      <c r="DT8" s="784">
        <v>1785</v>
      </c>
      <c r="DU8" s="782" t="s">
        <v>368</v>
      </c>
      <c r="DV8" s="785">
        <v>23014</v>
      </c>
      <c r="DW8" s="376">
        <v>16422</v>
      </c>
      <c r="DX8" s="784">
        <v>1042</v>
      </c>
      <c r="DY8" s="782" t="s">
        <v>368</v>
      </c>
      <c r="DZ8" s="785">
        <v>17464</v>
      </c>
      <c r="EA8" s="376">
        <v>16625</v>
      </c>
      <c r="EB8" s="784">
        <v>1140</v>
      </c>
      <c r="EC8" s="782" t="s">
        <v>368</v>
      </c>
      <c r="ED8" s="785">
        <v>17765</v>
      </c>
      <c r="EE8" s="376">
        <v>16296</v>
      </c>
      <c r="EF8" s="784">
        <v>1393</v>
      </c>
      <c r="EG8" s="782" t="s">
        <v>368</v>
      </c>
      <c r="EH8" s="785">
        <v>17689</v>
      </c>
      <c r="EI8" s="376">
        <v>9810</v>
      </c>
      <c r="EJ8" s="784">
        <v>1336</v>
      </c>
      <c r="EK8" s="782" t="s">
        <v>368</v>
      </c>
      <c r="EL8" s="785">
        <v>11146</v>
      </c>
      <c r="EM8" s="376">
        <v>10516</v>
      </c>
      <c r="EN8" s="784">
        <v>1351</v>
      </c>
      <c r="EO8" s="782" t="s">
        <v>368</v>
      </c>
      <c r="EP8" s="785">
        <v>11867</v>
      </c>
      <c r="EQ8" s="376">
        <v>10750.73</v>
      </c>
      <c r="ER8" s="784">
        <v>2529.3200000000002</v>
      </c>
      <c r="ES8" s="782" t="s">
        <v>368</v>
      </c>
      <c r="ET8" s="785">
        <v>13280.05</v>
      </c>
      <c r="EU8" s="376">
        <v>11399</v>
      </c>
      <c r="EV8" s="784">
        <v>2551.46</v>
      </c>
      <c r="EW8" s="782" t="s">
        <v>368</v>
      </c>
      <c r="EX8" s="785">
        <v>13950.46</v>
      </c>
      <c r="EY8" s="376">
        <v>11670</v>
      </c>
      <c r="EZ8" s="784">
        <v>2556</v>
      </c>
      <c r="FA8" s="782" t="s">
        <v>368</v>
      </c>
      <c r="FB8" s="785">
        <v>14226</v>
      </c>
      <c r="FC8" s="376">
        <v>11274</v>
      </c>
      <c r="FD8" s="784">
        <v>2440.6</v>
      </c>
      <c r="FE8" s="782" t="s">
        <v>368</v>
      </c>
      <c r="FF8" s="785">
        <v>13714.6</v>
      </c>
      <c r="FG8" s="376">
        <v>9484</v>
      </c>
      <c r="FH8" s="784">
        <v>9817</v>
      </c>
      <c r="FI8" s="782" t="s">
        <v>368</v>
      </c>
      <c r="FJ8" s="785">
        <v>19301</v>
      </c>
      <c r="FK8" s="376">
        <v>9639.8700000000008</v>
      </c>
      <c r="FL8" s="784">
        <v>15017.22</v>
      </c>
      <c r="FM8" s="782" t="s">
        <v>368</v>
      </c>
      <c r="FN8" s="785">
        <v>24657.09</v>
      </c>
      <c r="FO8" s="376">
        <v>10068.52</v>
      </c>
      <c r="FP8" s="784">
        <v>19579.43</v>
      </c>
      <c r="FQ8" s="782" t="s">
        <v>368</v>
      </c>
      <c r="FR8" s="785">
        <v>29647.95</v>
      </c>
      <c r="FS8" s="376">
        <v>10743</v>
      </c>
      <c r="FT8" s="784">
        <v>21264</v>
      </c>
      <c r="FU8" s="782" t="s">
        <v>368</v>
      </c>
      <c r="FV8" s="785">
        <v>32007</v>
      </c>
      <c r="FW8" s="376">
        <v>10601.17</v>
      </c>
      <c r="FX8" s="784">
        <v>19523.849999999999</v>
      </c>
      <c r="FY8" s="782" t="s">
        <v>368</v>
      </c>
      <c r="FZ8" s="785">
        <v>30125.019999999997</v>
      </c>
      <c r="GA8" s="376">
        <v>10297.370000000001</v>
      </c>
      <c r="GB8" s="784">
        <v>23057.5</v>
      </c>
      <c r="GC8" s="782" t="s">
        <v>368</v>
      </c>
      <c r="GD8" s="785">
        <v>33354.870000000003</v>
      </c>
      <c r="GE8" s="376">
        <v>10685.15</v>
      </c>
      <c r="GF8" s="784">
        <v>22397.85</v>
      </c>
      <c r="GG8" s="782" t="s">
        <v>368</v>
      </c>
      <c r="GH8" s="785">
        <v>33083</v>
      </c>
      <c r="GI8" s="376">
        <v>11571.39</v>
      </c>
      <c r="GJ8" s="784">
        <v>19495.400000000001</v>
      </c>
      <c r="GK8" s="782" t="s">
        <v>368</v>
      </c>
      <c r="GL8" s="785">
        <v>31066.79</v>
      </c>
      <c r="GM8" s="376">
        <v>11075</v>
      </c>
      <c r="GN8" s="784">
        <v>19908.5</v>
      </c>
      <c r="GO8" s="782" t="s">
        <v>368</v>
      </c>
      <c r="GP8" s="785">
        <v>30983.5</v>
      </c>
      <c r="GQ8" s="376">
        <v>12185.23</v>
      </c>
      <c r="GR8" s="784">
        <v>24308.3</v>
      </c>
      <c r="GS8" s="782" t="s">
        <v>368</v>
      </c>
      <c r="GT8" s="785">
        <v>36493.53</v>
      </c>
      <c r="GU8" s="376">
        <v>11642</v>
      </c>
      <c r="GV8" s="784">
        <v>23664</v>
      </c>
      <c r="GW8" s="782" t="s">
        <v>368</v>
      </c>
      <c r="GX8" s="785">
        <v>35306</v>
      </c>
      <c r="GY8" s="376">
        <v>14943</v>
      </c>
      <c r="GZ8" s="784">
        <v>25783</v>
      </c>
      <c r="HA8" s="782" t="s">
        <v>368</v>
      </c>
      <c r="HB8" s="785">
        <v>40726</v>
      </c>
      <c r="HC8" s="376">
        <v>14470</v>
      </c>
      <c r="HD8" s="784">
        <v>27780</v>
      </c>
      <c r="HE8" s="782" t="s">
        <v>368</v>
      </c>
      <c r="HF8" s="785">
        <v>42250</v>
      </c>
      <c r="HG8" s="376">
        <v>11265</v>
      </c>
      <c r="HH8" s="784">
        <v>25670.84</v>
      </c>
      <c r="HI8" s="782" t="s">
        <v>368</v>
      </c>
      <c r="HJ8" s="781">
        <v>36935.839999999997</v>
      </c>
      <c r="HK8" s="376">
        <v>10996.46</v>
      </c>
      <c r="HL8" s="783">
        <v>25224.34</v>
      </c>
      <c r="HM8" s="782" t="s">
        <v>368</v>
      </c>
      <c r="HN8" s="781">
        <v>36220.800000000003</v>
      </c>
      <c r="HO8" s="376">
        <v>10552.14</v>
      </c>
      <c r="HP8" s="783">
        <v>23942.38</v>
      </c>
      <c r="HQ8" s="782" t="s">
        <v>368</v>
      </c>
      <c r="HR8" s="781">
        <v>34494.520000000004</v>
      </c>
      <c r="HS8" s="376">
        <v>10319.299999999999</v>
      </c>
      <c r="HT8" s="783">
        <v>27056.43</v>
      </c>
      <c r="HU8" s="782" t="s">
        <v>368</v>
      </c>
      <c r="HV8" s="781">
        <v>37375.729999999996</v>
      </c>
    </row>
    <row r="9" spans="2:230" s="772" customFormat="1" x14ac:dyDescent="0.35">
      <c r="B9" s="780" t="s">
        <v>491</v>
      </c>
      <c r="C9" s="779">
        <v>37.535915307851972</v>
      </c>
      <c r="D9" s="775">
        <v>62.464084692148028</v>
      </c>
      <c r="E9" s="774" t="s">
        <v>368</v>
      </c>
      <c r="F9" s="777"/>
      <c r="G9" s="776">
        <v>39.856321839080458</v>
      </c>
      <c r="H9" s="775">
        <v>60.143678160919542</v>
      </c>
      <c r="I9" s="774" t="s">
        <v>368</v>
      </c>
      <c r="J9" s="777"/>
      <c r="K9" s="776">
        <v>39.659145418120602</v>
      </c>
      <c r="L9" s="775">
        <v>60.340854581879398</v>
      </c>
      <c r="M9" s="774" t="s">
        <v>368</v>
      </c>
      <c r="N9" s="777"/>
      <c r="O9" s="776">
        <v>39.014622251096895</v>
      </c>
      <c r="P9" s="775">
        <v>60.985377748903112</v>
      </c>
      <c r="Q9" s="774" t="s">
        <v>368</v>
      </c>
      <c r="R9" s="777"/>
      <c r="S9" s="776">
        <v>33.693865189928182</v>
      </c>
      <c r="T9" s="775">
        <v>66.306134810071811</v>
      </c>
      <c r="U9" s="774" t="s">
        <v>368</v>
      </c>
      <c r="V9" s="777"/>
      <c r="W9" s="776">
        <v>25.551989106118082</v>
      </c>
      <c r="X9" s="775">
        <v>74.448010893881928</v>
      </c>
      <c r="Y9" s="774" t="s">
        <v>368</v>
      </c>
      <c r="Z9" s="777"/>
      <c r="AA9" s="776">
        <v>24.29304619100332</v>
      </c>
      <c r="AB9" s="775">
        <v>75.706953808996673</v>
      </c>
      <c r="AC9" s="774" t="s">
        <v>368</v>
      </c>
      <c r="AD9" s="777"/>
      <c r="AE9" s="776">
        <v>32.103259970213472</v>
      </c>
      <c r="AF9" s="775">
        <v>67.896740029786528</v>
      </c>
      <c r="AG9" s="774" t="s">
        <v>368</v>
      </c>
      <c r="AH9" s="777"/>
      <c r="AI9" s="776">
        <v>33.840546697038725</v>
      </c>
      <c r="AJ9" s="775">
        <v>66.159453302961282</v>
      </c>
      <c r="AK9" s="774" t="s">
        <v>368</v>
      </c>
      <c r="AL9" s="778"/>
      <c r="AM9" s="776">
        <v>43.082126625092485</v>
      </c>
      <c r="AN9" s="775">
        <v>56.917873374907515</v>
      </c>
      <c r="AO9" s="774" t="s">
        <v>368</v>
      </c>
      <c r="AP9" s="777"/>
      <c r="AQ9" s="776">
        <v>43.384483313660269</v>
      </c>
      <c r="AR9" s="775">
        <v>56.615516686339738</v>
      </c>
      <c r="AS9" s="774" t="s">
        <v>368</v>
      </c>
      <c r="AT9" s="777"/>
      <c r="AU9" s="776">
        <v>50.080906148867314</v>
      </c>
      <c r="AV9" s="775">
        <v>49.919093851132686</v>
      </c>
      <c r="AW9" s="774" t="s">
        <v>368</v>
      </c>
      <c r="AX9" s="777"/>
      <c r="AY9" s="776">
        <v>40.7996606214869</v>
      </c>
      <c r="AZ9" s="775">
        <v>59.2003393785131</v>
      </c>
      <c r="BA9" s="774" t="s">
        <v>368</v>
      </c>
      <c r="BB9" s="777"/>
      <c r="BC9" s="776">
        <v>56.811108451041413</v>
      </c>
      <c r="BD9" s="775">
        <v>43.18889154895858</v>
      </c>
      <c r="BE9" s="774" t="s">
        <v>368</v>
      </c>
      <c r="BF9" s="777"/>
      <c r="BG9" s="776">
        <v>56.889731333443216</v>
      </c>
      <c r="BH9" s="775">
        <v>43.110268666556784</v>
      </c>
      <c r="BI9" s="774" t="s">
        <v>368</v>
      </c>
      <c r="BJ9" s="777"/>
      <c r="BK9" s="776">
        <v>56.702726092600606</v>
      </c>
      <c r="BL9" s="775">
        <v>43.297273907399394</v>
      </c>
      <c r="BM9" s="774" t="s">
        <v>368</v>
      </c>
      <c r="BN9" s="777"/>
      <c r="BO9" s="776">
        <v>59.232056526589815</v>
      </c>
      <c r="BP9" s="775">
        <v>40.767943473410192</v>
      </c>
      <c r="BQ9" s="774" t="s">
        <v>368</v>
      </c>
      <c r="BR9" s="777"/>
      <c r="BS9" s="776">
        <v>63.038400448472387</v>
      </c>
      <c r="BT9" s="775">
        <v>36.961599551527605</v>
      </c>
      <c r="BU9" s="774" t="s">
        <v>368</v>
      </c>
      <c r="BV9" s="777"/>
      <c r="BW9" s="776">
        <v>62.492731149447565</v>
      </c>
      <c r="BX9" s="775">
        <v>37.507268850552435</v>
      </c>
      <c r="BY9" s="774" t="s">
        <v>368</v>
      </c>
      <c r="BZ9" s="777"/>
      <c r="CA9" s="776">
        <v>67.865682503378736</v>
      </c>
      <c r="CB9" s="775">
        <v>32.134317496621271</v>
      </c>
      <c r="CC9" s="774" t="s">
        <v>368</v>
      </c>
      <c r="CD9" s="777"/>
      <c r="CE9" s="776">
        <v>76.651877673902717</v>
      </c>
      <c r="CF9" s="775">
        <v>23.34812232609729</v>
      </c>
      <c r="CG9" s="774" t="s">
        <v>368</v>
      </c>
      <c r="CH9" s="777"/>
      <c r="CI9" s="776">
        <v>77.397775733757001</v>
      </c>
      <c r="CJ9" s="775">
        <v>22.602224266242995</v>
      </c>
      <c r="CK9" s="774" t="s">
        <v>368</v>
      </c>
      <c r="CL9" s="777"/>
      <c r="CM9" s="776">
        <v>87.091118294887949</v>
      </c>
      <c r="CN9" s="775">
        <v>12.90888170511205</v>
      </c>
      <c r="CO9" s="774" t="s">
        <v>368</v>
      </c>
      <c r="CP9" s="777"/>
      <c r="CQ9" s="776">
        <v>86.910093007233897</v>
      </c>
      <c r="CR9" s="775">
        <v>13.089906992766103</v>
      </c>
      <c r="CS9" s="774" t="s">
        <v>368</v>
      </c>
      <c r="CT9" s="777"/>
      <c r="CU9" s="776">
        <v>88.081852934562619</v>
      </c>
      <c r="CV9" s="775">
        <v>11.918147065437374</v>
      </c>
      <c r="CW9" s="774" t="s">
        <v>368</v>
      </c>
      <c r="CX9" s="777"/>
      <c r="CY9" s="776">
        <v>87.281371052940486</v>
      </c>
      <c r="CZ9" s="775">
        <v>12.718628947059516</v>
      </c>
      <c r="DA9" s="774" t="s">
        <v>368</v>
      </c>
      <c r="DB9" s="777"/>
      <c r="DC9" s="776">
        <v>88.743156934306569</v>
      </c>
      <c r="DD9" s="775">
        <v>11.256843065693431</v>
      </c>
      <c r="DE9" s="774" t="s">
        <v>368</v>
      </c>
      <c r="DF9" s="777"/>
      <c r="DG9" s="776">
        <v>89.216691969964302</v>
      </c>
      <c r="DH9" s="775">
        <v>10.783308030035698</v>
      </c>
      <c r="DI9" s="774" t="s">
        <v>368</v>
      </c>
      <c r="DJ9" s="777"/>
      <c r="DK9" s="776">
        <v>88.470470146904958</v>
      </c>
      <c r="DL9" s="775">
        <v>11.529529853095042</v>
      </c>
      <c r="DM9" s="774" t="s">
        <v>368</v>
      </c>
      <c r="DN9" s="777"/>
      <c r="DO9" s="776">
        <v>92.012746127993097</v>
      </c>
      <c r="DP9" s="775">
        <v>7.9872538720069048</v>
      </c>
      <c r="DQ9" s="774" t="s">
        <v>368</v>
      </c>
      <c r="DR9" s="777"/>
      <c r="DS9" s="776">
        <v>92.24385156861041</v>
      </c>
      <c r="DT9" s="775">
        <v>7.7561484313895894</v>
      </c>
      <c r="DU9" s="774" t="s">
        <v>368</v>
      </c>
      <c r="DV9" s="777"/>
      <c r="DW9" s="776">
        <v>94.033440219880887</v>
      </c>
      <c r="DX9" s="775">
        <v>5.9665597801191028</v>
      </c>
      <c r="DY9" s="774" t="s">
        <v>368</v>
      </c>
      <c r="DZ9" s="777"/>
      <c r="EA9" s="776">
        <v>93.582887700534755</v>
      </c>
      <c r="EB9" s="775">
        <v>6.4171122994652414</v>
      </c>
      <c r="EC9" s="774" t="s">
        <v>368</v>
      </c>
      <c r="ED9" s="777"/>
      <c r="EE9" s="776">
        <v>92.125049465769692</v>
      </c>
      <c r="EF9" s="775">
        <v>7.8749505342303125</v>
      </c>
      <c r="EG9" s="774" t="s">
        <v>368</v>
      </c>
      <c r="EH9" s="777"/>
      <c r="EI9" s="776">
        <v>88.013637179257131</v>
      </c>
      <c r="EJ9" s="775">
        <v>11.986362820742867</v>
      </c>
      <c r="EK9" s="774" t="s">
        <v>368</v>
      </c>
      <c r="EL9" s="777"/>
      <c r="EM9" s="776">
        <v>88.615488328979524</v>
      </c>
      <c r="EN9" s="775">
        <v>11.384511671020476</v>
      </c>
      <c r="EO9" s="774" t="s">
        <v>368</v>
      </c>
      <c r="EP9" s="777"/>
      <c r="EQ9" s="776">
        <v>80.953987372035499</v>
      </c>
      <c r="ER9" s="775">
        <v>19.046012627964508</v>
      </c>
      <c r="ES9" s="774" t="s">
        <v>368</v>
      </c>
      <c r="ET9" s="777"/>
      <c r="EU9" s="776">
        <v>81.710567250112192</v>
      </c>
      <c r="EV9" s="775">
        <v>18.289432749887819</v>
      </c>
      <c r="EW9" s="774" t="s">
        <v>368</v>
      </c>
      <c r="EX9" s="777"/>
      <c r="EY9" s="776">
        <v>82.032897511598478</v>
      </c>
      <c r="EZ9" s="775">
        <v>17.967102488401519</v>
      </c>
      <c r="FA9" s="774" t="s">
        <v>368</v>
      </c>
      <c r="FB9" s="777"/>
      <c r="FC9" s="776">
        <v>82.204366149942402</v>
      </c>
      <c r="FD9" s="775">
        <v>17.795633850057602</v>
      </c>
      <c r="FE9" s="774" t="s">
        <v>368</v>
      </c>
      <c r="FF9" s="777"/>
      <c r="FG9" s="776">
        <v>49.137350396352517</v>
      </c>
      <c r="FH9" s="775">
        <v>50.862649603647483</v>
      </c>
      <c r="FI9" s="774" t="s">
        <v>368</v>
      </c>
      <c r="FJ9" s="777"/>
      <c r="FK9" s="776">
        <v>39.095732708117623</v>
      </c>
      <c r="FL9" s="775">
        <v>60.904267291882377</v>
      </c>
      <c r="FM9" s="774" t="s">
        <v>368</v>
      </c>
      <c r="FN9" s="777"/>
      <c r="FO9" s="776">
        <v>33.960256948625457</v>
      </c>
      <c r="FP9" s="775">
        <v>66.039743051374543</v>
      </c>
      <c r="FQ9" s="774" t="s">
        <v>368</v>
      </c>
      <c r="FR9" s="777"/>
      <c r="FS9" s="776">
        <v>33.564532758459087</v>
      </c>
      <c r="FT9" s="775">
        <v>66.43546724154092</v>
      </c>
      <c r="FU9" s="774" t="s">
        <v>368</v>
      </c>
      <c r="FV9" s="777"/>
      <c r="FW9" s="776">
        <v>35.190582446086353</v>
      </c>
      <c r="FX9" s="775">
        <v>64.809417553913661</v>
      </c>
      <c r="FY9" s="774" t="s">
        <v>368</v>
      </c>
      <c r="FZ9" s="777"/>
      <c r="GA9" s="776">
        <v>30.872163495165772</v>
      </c>
      <c r="GB9" s="775">
        <v>69.127836504834221</v>
      </c>
      <c r="GC9" s="774" t="s">
        <v>368</v>
      </c>
      <c r="GD9" s="777"/>
      <c r="GE9" s="776">
        <v>32.298008040383273</v>
      </c>
      <c r="GF9" s="775">
        <v>67.70199195961672</v>
      </c>
      <c r="GG9" s="774" t="s">
        <v>368</v>
      </c>
      <c r="GH9" s="777"/>
      <c r="GI9" s="776">
        <v>37.246815651053744</v>
      </c>
      <c r="GJ9" s="775">
        <v>62.753184348946256</v>
      </c>
      <c r="GK9" s="774" t="s">
        <v>368</v>
      </c>
      <c r="GL9" s="777"/>
      <c r="GM9" s="776">
        <v>35.744831926670642</v>
      </c>
      <c r="GN9" s="775">
        <v>64.255168073329344</v>
      </c>
      <c r="GO9" s="774" t="s">
        <v>368</v>
      </c>
      <c r="GP9" s="777"/>
      <c r="GQ9" s="776">
        <v>33.390110520960839</v>
      </c>
      <c r="GR9" s="775">
        <v>66.609889479039168</v>
      </c>
      <c r="GS9" s="774" t="s">
        <v>368</v>
      </c>
      <c r="GT9" s="777"/>
      <c r="GU9" s="776">
        <v>32.974565229706002</v>
      </c>
      <c r="GV9" s="775">
        <v>67.025434770293998</v>
      </c>
      <c r="GW9" s="774" t="s">
        <v>368</v>
      </c>
      <c r="GX9" s="777"/>
      <c r="GY9" s="776">
        <v>36.691548396601682</v>
      </c>
      <c r="GZ9" s="775">
        <v>63.308451603398318</v>
      </c>
      <c r="HA9" s="774" t="s">
        <v>368</v>
      </c>
      <c r="HB9" s="777"/>
      <c r="HC9" s="776">
        <v>34.248520710059168</v>
      </c>
      <c r="HD9" s="775">
        <v>65.751479289940832</v>
      </c>
      <c r="HE9" s="774" t="s">
        <v>368</v>
      </c>
      <c r="HF9" s="777"/>
      <c r="HG9" s="776">
        <v>30.498832570208233</v>
      </c>
      <c r="HH9" s="775">
        <v>69.501167429791778</v>
      </c>
      <c r="HI9" s="774" t="s">
        <v>368</v>
      </c>
      <c r="HJ9" s="773"/>
      <c r="HK9" s="776">
        <v>30.35951718349677</v>
      </c>
      <c r="HL9" s="775">
        <v>69.640482816503223</v>
      </c>
      <c r="HM9" s="774" t="s">
        <v>368</v>
      </c>
      <c r="HN9" s="773"/>
      <c r="HO9" s="776">
        <v>30.590772099452312</v>
      </c>
      <c r="HP9" s="775">
        <v>69.409227900547677</v>
      </c>
      <c r="HQ9" s="774" t="s">
        <v>368</v>
      </c>
      <c r="HR9" s="773"/>
      <c r="HS9" s="776">
        <v>27.609627959106085</v>
      </c>
      <c r="HT9" s="775">
        <v>72.390372040893922</v>
      </c>
      <c r="HU9" s="774" t="s">
        <v>368</v>
      </c>
      <c r="HV9" s="773"/>
    </row>
    <row r="10" spans="2:230" ht="15" thickBot="1" x14ac:dyDescent="0.4">
      <c r="B10" s="771"/>
      <c r="C10" s="770"/>
      <c r="D10" s="767"/>
      <c r="E10" s="767"/>
      <c r="F10" s="769"/>
      <c r="G10" s="768"/>
      <c r="H10" s="767"/>
      <c r="I10" s="767"/>
      <c r="J10" s="769"/>
      <c r="K10" s="768"/>
      <c r="L10" s="767"/>
      <c r="M10" s="767"/>
      <c r="N10" s="769"/>
      <c r="O10" s="768"/>
      <c r="P10" s="767"/>
      <c r="Q10" s="767"/>
      <c r="R10" s="769"/>
      <c r="S10" s="768"/>
      <c r="T10" s="767"/>
      <c r="U10" s="767"/>
      <c r="V10" s="769"/>
      <c r="W10" s="768"/>
      <c r="X10" s="767"/>
      <c r="Y10" s="767"/>
      <c r="Z10" s="769"/>
      <c r="AA10" s="768"/>
      <c r="AB10" s="767"/>
      <c r="AC10" s="767"/>
      <c r="AD10" s="769"/>
      <c r="AE10" s="768"/>
      <c r="AF10" s="767"/>
      <c r="AG10" s="767"/>
      <c r="AH10" s="769"/>
      <c r="AI10" s="768"/>
      <c r="AJ10" s="767"/>
      <c r="AK10" s="767"/>
      <c r="AL10" s="769"/>
      <c r="AM10" s="768"/>
      <c r="AN10" s="767"/>
      <c r="AO10" s="767"/>
      <c r="AP10" s="769"/>
      <c r="AQ10" s="768"/>
      <c r="AR10" s="767"/>
      <c r="AS10" s="767"/>
      <c r="AT10" s="769"/>
      <c r="AU10" s="768"/>
      <c r="AV10" s="767"/>
      <c r="AW10" s="767"/>
      <c r="AX10" s="769"/>
      <c r="AY10" s="768"/>
      <c r="AZ10" s="767"/>
      <c r="BA10" s="767"/>
      <c r="BB10" s="769"/>
      <c r="BC10" s="768"/>
      <c r="BD10" s="767"/>
      <c r="BE10" s="767"/>
      <c r="BF10" s="769"/>
      <c r="BG10" s="768"/>
      <c r="BH10" s="767"/>
      <c r="BI10" s="767"/>
      <c r="BJ10" s="769"/>
      <c r="BK10" s="768"/>
      <c r="BL10" s="767"/>
      <c r="BM10" s="767"/>
      <c r="BN10" s="769"/>
      <c r="BO10" s="768"/>
      <c r="BP10" s="767"/>
      <c r="BQ10" s="767"/>
      <c r="BR10" s="769"/>
      <c r="BS10" s="768"/>
      <c r="BT10" s="767"/>
      <c r="BU10" s="767"/>
      <c r="BV10" s="769"/>
      <c r="BW10" s="768"/>
      <c r="BX10" s="767"/>
      <c r="BY10" s="767"/>
      <c r="BZ10" s="769"/>
      <c r="CA10" s="768"/>
      <c r="CB10" s="767"/>
      <c r="CC10" s="767"/>
      <c r="CD10" s="769"/>
      <c r="CE10" s="768"/>
      <c r="CF10" s="767"/>
      <c r="CG10" s="767"/>
      <c r="CH10" s="769"/>
      <c r="CI10" s="768"/>
      <c r="CJ10" s="767"/>
      <c r="CK10" s="767"/>
      <c r="CL10" s="769"/>
      <c r="CM10" s="768"/>
      <c r="CN10" s="767"/>
      <c r="CO10" s="767"/>
      <c r="CP10" s="769"/>
      <c r="CQ10" s="768"/>
      <c r="CR10" s="767"/>
      <c r="CS10" s="767"/>
      <c r="CT10" s="769"/>
      <c r="CU10" s="768"/>
      <c r="CV10" s="767"/>
      <c r="CW10" s="767"/>
      <c r="CX10" s="769"/>
      <c r="CY10" s="768"/>
      <c r="CZ10" s="767"/>
      <c r="DA10" s="767"/>
      <c r="DB10" s="769"/>
      <c r="DC10" s="768"/>
      <c r="DD10" s="767"/>
      <c r="DE10" s="767"/>
      <c r="DF10" s="769"/>
      <c r="DG10" s="768"/>
      <c r="DH10" s="767"/>
      <c r="DI10" s="767"/>
      <c r="DJ10" s="769"/>
      <c r="DK10" s="768"/>
      <c r="DL10" s="767"/>
      <c r="DM10" s="767"/>
      <c r="DN10" s="769"/>
      <c r="DO10" s="768"/>
      <c r="DP10" s="767"/>
      <c r="DQ10" s="767"/>
      <c r="DR10" s="769"/>
      <c r="DS10" s="768"/>
      <c r="DT10" s="767"/>
      <c r="DU10" s="767"/>
      <c r="DV10" s="769"/>
      <c r="DW10" s="768"/>
      <c r="DX10" s="767"/>
      <c r="DY10" s="767"/>
      <c r="DZ10" s="769"/>
      <c r="EA10" s="768"/>
      <c r="EB10" s="767"/>
      <c r="EC10" s="767"/>
      <c r="ED10" s="769"/>
      <c r="EE10" s="768"/>
      <c r="EF10" s="767"/>
      <c r="EG10" s="767"/>
      <c r="EH10" s="769"/>
      <c r="EI10" s="768"/>
      <c r="EJ10" s="767"/>
      <c r="EK10" s="767"/>
      <c r="EL10" s="769"/>
      <c r="EM10" s="768"/>
      <c r="EN10" s="767"/>
      <c r="EO10" s="767"/>
      <c r="EP10" s="769"/>
      <c r="EQ10" s="768"/>
      <c r="ER10" s="767"/>
      <c r="ES10" s="767"/>
      <c r="ET10" s="769"/>
      <c r="EU10" s="768"/>
      <c r="EV10" s="767"/>
      <c r="EW10" s="767"/>
      <c r="EX10" s="769"/>
      <c r="EY10" s="768"/>
      <c r="EZ10" s="767"/>
      <c r="FA10" s="767"/>
      <c r="FB10" s="769"/>
      <c r="FC10" s="768"/>
      <c r="FD10" s="767"/>
      <c r="FE10" s="767"/>
      <c r="FF10" s="769"/>
      <c r="FG10" s="768"/>
      <c r="FH10" s="767"/>
      <c r="FI10" s="767"/>
      <c r="FJ10" s="769"/>
      <c r="FK10" s="768"/>
      <c r="FL10" s="767"/>
      <c r="FM10" s="767"/>
      <c r="FN10" s="769"/>
      <c r="FO10" s="768"/>
      <c r="FP10" s="767"/>
      <c r="FQ10" s="767"/>
      <c r="FR10" s="769"/>
      <c r="FS10" s="768"/>
      <c r="FT10" s="767"/>
      <c r="FU10" s="767"/>
      <c r="FV10" s="769"/>
      <c r="FW10" s="768"/>
      <c r="FX10" s="767"/>
      <c r="FY10" s="767"/>
      <c r="FZ10" s="769"/>
      <c r="GA10" s="768"/>
      <c r="GB10" s="767"/>
      <c r="GC10" s="767"/>
      <c r="GD10" s="769"/>
      <c r="GE10" s="768"/>
      <c r="GF10" s="767"/>
      <c r="GG10" s="767"/>
      <c r="GH10" s="769"/>
      <c r="GI10" s="768"/>
      <c r="GJ10" s="767"/>
      <c r="GK10" s="767"/>
      <c r="GL10" s="769"/>
      <c r="GM10" s="768"/>
      <c r="GN10" s="767"/>
      <c r="GO10" s="767"/>
      <c r="GP10" s="769"/>
      <c r="GQ10" s="768"/>
      <c r="GR10" s="767"/>
      <c r="GS10" s="767"/>
      <c r="GT10" s="769"/>
      <c r="GU10" s="768"/>
      <c r="GV10" s="767"/>
      <c r="GW10" s="767"/>
      <c r="GX10" s="769"/>
      <c r="GY10" s="768"/>
      <c r="GZ10" s="767"/>
      <c r="HA10" s="767"/>
      <c r="HB10" s="769"/>
      <c r="HC10" s="768"/>
      <c r="HD10" s="767"/>
      <c r="HE10" s="767"/>
      <c r="HF10" s="769"/>
      <c r="HG10" s="768"/>
      <c r="HH10" s="767"/>
      <c r="HI10" s="767"/>
      <c r="HJ10" s="766"/>
      <c r="HK10" s="768"/>
      <c r="HL10" s="767"/>
      <c r="HM10" s="767"/>
      <c r="HN10" s="766"/>
      <c r="HO10" s="768"/>
      <c r="HP10" s="767"/>
      <c r="HQ10" s="767"/>
      <c r="HR10" s="766"/>
      <c r="HS10" s="768"/>
      <c r="HT10" s="767"/>
      <c r="HU10" s="767"/>
      <c r="HV10" s="766"/>
    </row>
    <row r="11" spans="2:230" ht="6.75" customHeight="1" x14ac:dyDescent="0.35">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row>
    <row r="12" spans="2:230" x14ac:dyDescent="0.35">
      <c r="B12" s="1240" t="s">
        <v>683</v>
      </c>
      <c r="C12" s="1240"/>
      <c r="D12" s="1240"/>
      <c r="E12" s="1240"/>
      <c r="F12" s="1240"/>
      <c r="G12" s="1240"/>
      <c r="H12" s="1240"/>
      <c r="I12" s="1240"/>
      <c r="J12" s="1240"/>
      <c r="K12" s="1240"/>
      <c r="L12" s="1240"/>
      <c r="M12" s="1240"/>
      <c r="N12" s="1240"/>
      <c r="O12" s="1240"/>
      <c r="P12" s="1240"/>
      <c r="Q12" s="1240"/>
      <c r="R12" s="1240"/>
      <c r="S12" s="1240"/>
      <c r="T12" s="1240"/>
      <c r="U12" s="1240"/>
      <c r="V12" s="1240"/>
      <c r="W12" s="1240"/>
      <c r="X12" s="1240"/>
      <c r="Y12" s="1240"/>
      <c r="Z12" s="1240"/>
      <c r="AA12" s="1240"/>
      <c r="AB12" s="1240"/>
      <c r="AC12" s="1240"/>
      <c r="AD12" s="1240"/>
      <c r="AE12" s="1240"/>
      <c r="AF12" s="1240"/>
      <c r="AG12" s="1240"/>
      <c r="AH12" s="1240"/>
      <c r="AI12" s="1240"/>
      <c r="AJ12" s="1240"/>
      <c r="AK12" s="1240"/>
      <c r="AL12" s="1240"/>
      <c r="AM12" s="1240"/>
      <c r="AN12" s="1240"/>
      <c r="AO12" s="1240"/>
      <c r="AP12" s="1240"/>
      <c r="AQ12" s="1240"/>
      <c r="AR12" s="1240"/>
      <c r="AS12" s="1240"/>
      <c r="AT12" s="1240"/>
      <c r="AU12" s="1240"/>
      <c r="AV12" s="1240"/>
      <c r="AW12" s="1240"/>
      <c r="AX12" s="1240"/>
      <c r="AY12" s="1240"/>
      <c r="AZ12" s="1240"/>
      <c r="BA12" s="1240"/>
      <c r="BB12" s="1240"/>
      <c r="BC12" s="1240"/>
      <c r="BD12" s="1240"/>
      <c r="BE12" s="1240"/>
      <c r="BF12" s="1240"/>
      <c r="BG12" s="1240"/>
      <c r="BH12" s="1240"/>
      <c r="BI12" s="1240"/>
      <c r="BJ12" s="1240"/>
      <c r="BK12" s="1240"/>
      <c r="BL12" s="1240"/>
      <c r="BM12" s="1240"/>
      <c r="BN12" s="1240"/>
      <c r="BO12" s="1240"/>
      <c r="BP12" s="1240"/>
      <c r="BQ12" s="1240"/>
      <c r="BR12" s="1240"/>
      <c r="BS12" s="1240"/>
      <c r="BT12" s="1240"/>
      <c r="BU12" s="1240"/>
      <c r="BV12" s="1240"/>
      <c r="BW12" s="1240"/>
      <c r="BX12" s="1240"/>
      <c r="BY12" s="1240"/>
      <c r="BZ12" s="1240"/>
      <c r="CA12" s="1240"/>
      <c r="CB12" s="1240"/>
      <c r="CC12" s="1240"/>
      <c r="CD12" s="1240"/>
      <c r="CE12" s="1240"/>
      <c r="CF12" s="1240"/>
      <c r="CG12" s="1240"/>
      <c r="CH12" s="1240"/>
      <c r="CI12" s="1240"/>
      <c r="CJ12" s="1240"/>
      <c r="CK12" s="1240"/>
      <c r="CL12" s="1240"/>
      <c r="CM12" s="1240"/>
      <c r="CN12" s="1240"/>
      <c r="CO12" s="1240"/>
      <c r="CP12" s="1240"/>
      <c r="CQ12" s="1240"/>
      <c r="CR12" s="1240"/>
      <c r="CS12" s="1240"/>
      <c r="CT12" s="1240"/>
      <c r="CU12" s="1240"/>
      <c r="CV12" s="1240"/>
      <c r="CW12" s="1240"/>
      <c r="CX12" s="1240"/>
      <c r="CY12" s="1240"/>
      <c r="CZ12" s="1240"/>
      <c r="DA12" s="1240"/>
      <c r="DB12" s="1240"/>
      <c r="DC12" s="1240"/>
      <c r="DD12" s="1240"/>
      <c r="DE12" s="1240"/>
      <c r="DF12" s="1240"/>
      <c r="DG12" s="1240"/>
      <c r="DH12" s="1240"/>
      <c r="DI12" s="1240"/>
      <c r="DJ12" s="1240"/>
      <c r="DK12" s="1240"/>
      <c r="DL12" s="1240"/>
      <c r="DM12" s="1240"/>
      <c r="DN12" s="1240"/>
      <c r="DO12" s="1240"/>
      <c r="DP12" s="1240"/>
      <c r="DQ12" s="1240"/>
      <c r="DR12" s="1240"/>
      <c r="DS12" s="1240"/>
      <c r="DT12" s="1240"/>
      <c r="DU12" s="1240"/>
      <c r="DV12" s="1240"/>
      <c r="DW12" s="1240"/>
      <c r="DX12" s="1240"/>
      <c r="DY12" s="1240"/>
      <c r="DZ12" s="1240"/>
      <c r="EA12" s="1240"/>
      <c r="EB12" s="1240"/>
      <c r="EC12" s="1240"/>
      <c r="ED12" s="1240"/>
      <c r="EE12" s="1240"/>
      <c r="EF12" s="1240"/>
      <c r="EG12" s="1240"/>
      <c r="EH12" s="1240"/>
      <c r="EI12" s="1240"/>
      <c r="EJ12" s="1240"/>
      <c r="EK12" s="1240"/>
      <c r="EL12" s="1240"/>
      <c r="EM12" s="1240"/>
      <c r="EN12" s="1240"/>
      <c r="EO12" s="1240"/>
      <c r="EP12" s="1240"/>
      <c r="EQ12" s="1240"/>
      <c r="ER12" s="1240"/>
      <c r="ES12" s="1240"/>
      <c r="ET12" s="1240"/>
      <c r="EU12" s="1240"/>
      <c r="EV12" s="1240"/>
      <c r="EW12" s="1240"/>
      <c r="EX12" s="1240"/>
      <c r="EY12" s="1240"/>
      <c r="EZ12" s="1240"/>
      <c r="FA12" s="1240"/>
      <c r="FB12" s="1240"/>
      <c r="FC12" s="1240"/>
      <c r="FD12" s="1240"/>
      <c r="FE12" s="1240"/>
      <c r="FF12" s="1240"/>
      <c r="FG12" s="1240"/>
      <c r="FH12" s="1240"/>
      <c r="FI12" s="1240"/>
      <c r="FJ12" s="1240"/>
      <c r="FK12" s="1240"/>
      <c r="FL12" s="1240"/>
      <c r="FM12" s="1240"/>
      <c r="FN12" s="1240"/>
      <c r="FO12" s="1240"/>
      <c r="FP12" s="1240"/>
      <c r="FQ12" s="1240"/>
      <c r="FR12" s="1240"/>
      <c r="FS12" s="1240"/>
      <c r="FT12" s="1240"/>
      <c r="FU12" s="1240"/>
      <c r="FV12" s="1240"/>
      <c r="FW12" s="1240"/>
      <c r="FX12" s="1240"/>
      <c r="FY12" s="1240"/>
      <c r="FZ12" s="1240"/>
      <c r="GA12" s="1240"/>
      <c r="GB12" s="1240"/>
      <c r="GC12" s="1240"/>
      <c r="GD12" s="1240"/>
      <c r="GE12" s="1240"/>
      <c r="GF12" s="1240"/>
      <c r="GG12" s="1240"/>
      <c r="GH12" s="1240"/>
      <c r="GI12" s="1240"/>
      <c r="GJ12" s="1240"/>
      <c r="GK12" s="1240"/>
      <c r="GL12" s="1240"/>
      <c r="GM12" s="1240"/>
      <c r="GN12" s="1240"/>
      <c r="GO12" s="1240"/>
      <c r="GP12" s="1240"/>
      <c r="GQ12" s="1240"/>
      <c r="GR12" s="1240"/>
      <c r="GS12" s="1240"/>
      <c r="GT12" s="1240"/>
      <c r="GU12" s="1240"/>
      <c r="GV12" s="1240"/>
      <c r="GW12" s="1240"/>
      <c r="GX12" s="1240"/>
      <c r="GY12" s="1240"/>
      <c r="GZ12" s="1240"/>
      <c r="HA12" s="1240"/>
      <c r="HB12" s="1240"/>
      <c r="HC12" s="1240"/>
      <c r="HD12" s="1240"/>
      <c r="HE12" s="1240"/>
      <c r="HF12" s="1240"/>
      <c r="HG12" s="1240"/>
      <c r="HH12" s="1240"/>
      <c r="HI12" s="1240"/>
      <c r="HJ12" s="1240"/>
      <c r="HK12" s="1240"/>
      <c r="HL12" s="1240"/>
      <c r="HM12" s="1240"/>
      <c r="HN12" s="1240"/>
      <c r="HO12" s="1240"/>
      <c r="HP12" s="1240"/>
      <c r="HQ12" s="1240"/>
      <c r="HR12" s="1240"/>
      <c r="HS12" s="1240"/>
      <c r="HT12" s="1240"/>
      <c r="HU12" s="1240"/>
      <c r="HV12" s="1240"/>
    </row>
    <row r="13" spans="2:230" x14ac:dyDescent="0.35">
      <c r="B13" s="1240" t="s">
        <v>607</v>
      </c>
      <c r="C13" s="1240"/>
      <c r="D13" s="1240"/>
      <c r="E13" s="1240"/>
      <c r="F13" s="1240"/>
      <c r="G13" s="1240"/>
      <c r="H13" s="1240"/>
      <c r="I13" s="1240"/>
      <c r="J13" s="1240"/>
      <c r="K13" s="1240"/>
      <c r="L13" s="1240"/>
      <c r="M13" s="1240"/>
      <c r="N13" s="1240"/>
      <c r="O13" s="1240"/>
      <c r="P13" s="1240"/>
      <c r="Q13" s="1240"/>
      <c r="R13" s="1240"/>
      <c r="S13" s="1240"/>
      <c r="T13" s="1240"/>
      <c r="U13" s="1240"/>
      <c r="V13" s="1240"/>
      <c r="W13" s="1240"/>
      <c r="X13" s="1240"/>
      <c r="Y13" s="1240"/>
      <c r="Z13" s="1240"/>
      <c r="AA13" s="1240"/>
      <c r="AB13" s="1240"/>
      <c r="AC13" s="1240"/>
      <c r="AD13" s="1240"/>
      <c r="AE13" s="1240"/>
      <c r="AF13" s="1240"/>
      <c r="AG13" s="1240"/>
      <c r="AH13" s="1240"/>
      <c r="AI13" s="1240"/>
      <c r="AJ13" s="1240"/>
      <c r="AK13" s="1240"/>
      <c r="AL13" s="1240"/>
      <c r="AM13" s="1240"/>
      <c r="AN13" s="1240"/>
      <c r="AO13" s="1240"/>
      <c r="AP13" s="1240"/>
      <c r="AQ13" s="1240"/>
      <c r="AR13" s="1240"/>
      <c r="AS13" s="1240"/>
      <c r="AT13" s="1240"/>
      <c r="AU13" s="1240"/>
      <c r="AV13" s="1240"/>
      <c r="AW13" s="1240"/>
      <c r="AX13" s="1240"/>
      <c r="AY13" s="1240"/>
      <c r="AZ13" s="1240"/>
      <c r="BA13" s="1240"/>
      <c r="BB13" s="1240"/>
      <c r="BC13" s="1240"/>
      <c r="BD13" s="1240"/>
      <c r="BE13" s="1240"/>
      <c r="BF13" s="1240"/>
      <c r="BG13" s="1240"/>
      <c r="BH13" s="1240"/>
      <c r="BI13" s="1240"/>
      <c r="BJ13" s="1240"/>
      <c r="BK13" s="1240"/>
      <c r="BL13" s="1240"/>
      <c r="BM13" s="1240"/>
      <c r="BN13" s="1240"/>
      <c r="BO13" s="1240"/>
      <c r="BP13" s="1240"/>
      <c r="BQ13" s="1240"/>
      <c r="BR13" s="1240"/>
      <c r="BS13" s="1240"/>
      <c r="BT13" s="1240"/>
      <c r="BU13" s="1240"/>
      <c r="BV13" s="1240"/>
      <c r="BW13" s="1240"/>
      <c r="BX13" s="1240"/>
      <c r="BY13" s="1240"/>
      <c r="BZ13" s="1240"/>
      <c r="CA13" s="1240"/>
      <c r="CB13" s="1240"/>
      <c r="CC13" s="1240"/>
      <c r="CD13" s="1240"/>
      <c r="CE13" s="1240"/>
      <c r="CF13" s="1240"/>
      <c r="CG13" s="1240"/>
      <c r="CH13" s="1240"/>
      <c r="CI13" s="1240"/>
      <c r="CJ13" s="1240"/>
      <c r="CK13" s="1240"/>
      <c r="CL13" s="1240"/>
      <c r="CM13" s="1240"/>
      <c r="CN13" s="1240"/>
      <c r="CO13" s="1240"/>
      <c r="CP13" s="1240"/>
      <c r="CQ13" s="1240"/>
      <c r="CR13" s="1240"/>
      <c r="CS13" s="1240"/>
      <c r="CT13" s="1240"/>
      <c r="CU13" s="1240"/>
      <c r="CV13" s="1240"/>
      <c r="CW13" s="1240"/>
      <c r="CX13" s="1240"/>
      <c r="CY13" s="1240"/>
      <c r="CZ13" s="1240"/>
      <c r="DA13" s="1240"/>
      <c r="DB13" s="1240"/>
      <c r="DC13" s="1240"/>
      <c r="DD13" s="1240"/>
      <c r="DE13" s="1240"/>
      <c r="DF13" s="1240"/>
      <c r="DG13" s="1240"/>
      <c r="DH13" s="1240"/>
      <c r="DI13" s="1240"/>
      <c r="DJ13" s="1240"/>
      <c r="DK13" s="1240"/>
      <c r="DL13" s="1240"/>
      <c r="DM13" s="1240"/>
      <c r="DN13" s="1240"/>
      <c r="DO13" s="1240"/>
      <c r="DP13" s="1240"/>
      <c r="DQ13" s="1240"/>
      <c r="DR13" s="1240"/>
      <c r="DS13" s="1240"/>
      <c r="DT13" s="1240"/>
      <c r="DU13" s="1240"/>
      <c r="DV13" s="1240"/>
      <c r="DW13" s="1240"/>
      <c r="DX13" s="1240"/>
      <c r="DY13" s="1240"/>
      <c r="DZ13" s="1240"/>
      <c r="EA13" s="1240"/>
      <c r="EB13" s="1240"/>
      <c r="EC13" s="1240"/>
      <c r="ED13" s="1240"/>
      <c r="EE13" s="1240"/>
      <c r="EF13" s="1240"/>
      <c r="EG13" s="1240"/>
      <c r="EH13" s="1240"/>
      <c r="EI13" s="1240"/>
      <c r="EJ13" s="1240"/>
      <c r="EK13" s="1240"/>
      <c r="EL13" s="1240"/>
      <c r="EM13" s="1240"/>
      <c r="EN13" s="1240"/>
      <c r="EO13" s="1240"/>
      <c r="EP13" s="1240"/>
      <c r="EQ13" s="1240"/>
      <c r="ER13" s="1240"/>
      <c r="ES13" s="1240"/>
      <c r="ET13" s="1240"/>
      <c r="EU13" s="1240"/>
      <c r="EV13" s="1240"/>
      <c r="EW13" s="1240"/>
      <c r="EX13" s="1240"/>
      <c r="EY13" s="1240"/>
      <c r="EZ13" s="1240"/>
      <c r="FA13" s="1240"/>
      <c r="FB13" s="1240"/>
      <c r="FC13" s="1240"/>
      <c r="FD13" s="1240"/>
      <c r="FE13" s="1240"/>
      <c r="FF13" s="1240"/>
      <c r="FG13" s="1240"/>
      <c r="FH13" s="1240"/>
      <c r="FI13" s="1240"/>
      <c r="FJ13" s="1240"/>
      <c r="FK13" s="1240"/>
      <c r="FL13" s="1240"/>
      <c r="FM13" s="1240"/>
      <c r="FN13" s="1240"/>
      <c r="FO13" s="1240"/>
      <c r="FP13" s="1240"/>
      <c r="FQ13" s="1240"/>
      <c r="FR13" s="1240"/>
      <c r="FS13" s="1240"/>
      <c r="FT13" s="1240"/>
      <c r="FU13" s="1240"/>
      <c r="FV13" s="1240"/>
      <c r="FW13" s="1240"/>
      <c r="FX13" s="1240"/>
      <c r="FY13" s="1240"/>
      <c r="FZ13" s="1240"/>
      <c r="GA13" s="1240"/>
      <c r="GB13" s="1240"/>
      <c r="GC13" s="1240"/>
      <c r="GD13" s="1240"/>
      <c r="GE13" s="1240"/>
      <c r="GF13" s="1240"/>
      <c r="GG13" s="1240"/>
      <c r="GH13" s="1240"/>
      <c r="GI13" s="1240"/>
      <c r="GJ13" s="1240"/>
      <c r="GK13" s="1240"/>
      <c r="GL13" s="1240"/>
      <c r="GM13" s="1240"/>
      <c r="GN13" s="1240"/>
      <c r="GO13" s="1240"/>
      <c r="GP13" s="1240"/>
      <c r="GQ13" s="1240"/>
      <c r="GR13" s="1240"/>
      <c r="GS13" s="1240"/>
      <c r="GT13" s="1240"/>
      <c r="GU13" s="1240"/>
      <c r="GV13" s="1240"/>
      <c r="GW13" s="1240"/>
      <c r="GX13" s="1240"/>
      <c r="GY13" s="1240"/>
      <c r="GZ13" s="1240"/>
      <c r="HA13" s="1240"/>
      <c r="HB13" s="1240"/>
      <c r="HC13" s="1240"/>
      <c r="HD13" s="1240"/>
      <c r="HE13" s="1240"/>
      <c r="HF13" s="1240"/>
      <c r="HG13" s="1240"/>
      <c r="HH13" s="1240"/>
      <c r="HI13" s="1240"/>
      <c r="HJ13" s="1240"/>
      <c r="HK13" s="1240"/>
      <c r="HL13" s="1240"/>
      <c r="HM13" s="1240"/>
      <c r="HN13" s="1240"/>
      <c r="HO13" s="1240"/>
      <c r="HP13" s="1240"/>
      <c r="HQ13" s="1240"/>
      <c r="HR13" s="1240"/>
      <c r="HS13" s="1240"/>
      <c r="HT13" s="1240"/>
      <c r="HU13" s="1240"/>
      <c r="HV13" s="1240"/>
    </row>
    <row r="15" spans="2:230" x14ac:dyDescent="0.35">
      <c r="B15" s="104"/>
    </row>
  </sheetData>
  <mergeCells count="60">
    <mergeCell ref="HO3:HR3"/>
    <mergeCell ref="C3:F3"/>
    <mergeCell ref="G3:J3"/>
    <mergeCell ref="K3:N3"/>
    <mergeCell ref="O3:R3"/>
    <mergeCell ref="S3:V3"/>
    <mergeCell ref="W3:Z3"/>
    <mergeCell ref="AA3:AD3"/>
    <mergeCell ref="AE3:AH3"/>
    <mergeCell ref="AI3:AL3"/>
    <mergeCell ref="AM3:AP3"/>
    <mergeCell ref="AQ3:AT3"/>
    <mergeCell ref="AU3:AX3"/>
    <mergeCell ref="AY3:BB3"/>
    <mergeCell ref="BC3:BF3"/>
    <mergeCell ref="BG3:BJ3"/>
    <mergeCell ref="BK3:BN3"/>
    <mergeCell ref="BO3:BR3"/>
    <mergeCell ref="BS3:BV3"/>
    <mergeCell ref="BW3:BZ3"/>
    <mergeCell ref="CA3:CD3"/>
    <mergeCell ref="CE3:CH3"/>
    <mergeCell ref="CI3:CL3"/>
    <mergeCell ref="CM3:CP3"/>
    <mergeCell ref="CQ3:CT3"/>
    <mergeCell ref="CU3:CX3"/>
    <mergeCell ref="CY3:DB3"/>
    <mergeCell ref="DC3:DF3"/>
    <mergeCell ref="DG3:DJ3"/>
    <mergeCell ref="DK3:DN3"/>
    <mergeCell ref="DO3:DR3"/>
    <mergeCell ref="GQ3:GT3"/>
    <mergeCell ref="DS3:DV3"/>
    <mergeCell ref="DW3:DZ3"/>
    <mergeCell ref="EA3:ED3"/>
    <mergeCell ref="EE3:EH3"/>
    <mergeCell ref="EI3:EL3"/>
    <mergeCell ref="FW3:FZ3"/>
    <mergeCell ref="EM3:EP3"/>
    <mergeCell ref="EQ3:ET3"/>
    <mergeCell ref="EU3:EX3"/>
    <mergeCell ref="EY3:FB3"/>
    <mergeCell ref="FC3:FF3"/>
    <mergeCell ref="FG3:FJ3"/>
    <mergeCell ref="B1:HV1"/>
    <mergeCell ref="B12:HV12"/>
    <mergeCell ref="B13:HV13"/>
    <mergeCell ref="HS3:HV3"/>
    <mergeCell ref="FK3:FN3"/>
    <mergeCell ref="FO3:FR3"/>
    <mergeCell ref="FS3:FV3"/>
    <mergeCell ref="HK3:HN3"/>
    <mergeCell ref="GY3:HB3"/>
    <mergeCell ref="HC3:HF3"/>
    <mergeCell ref="HG3:HJ3"/>
    <mergeCell ref="GA3:GD3"/>
    <mergeCell ref="GE3:GH3"/>
    <mergeCell ref="GI3:GL3"/>
    <mergeCell ref="GM3:GP3"/>
    <mergeCell ref="GU3:GX3"/>
  </mergeCells>
  <pageMargins left="0.53" right="0.39" top="0.67" bottom="0.75" header="0.3" footer="0.3"/>
  <pageSetup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Z68"/>
  <sheetViews>
    <sheetView showGridLines="0" tabSelected="1" zoomScale="110" zoomScaleNormal="110" zoomScaleSheetLayoutView="100" workbookViewId="0">
      <pane xSplit="1" ySplit="5" topLeftCell="BX6" activePane="bottomRight" state="frozen"/>
      <selection pane="topRight" activeCell="B1" sqref="B1"/>
      <selection pane="bottomLeft" activeCell="A6" sqref="A6"/>
      <selection pane="bottomRight" activeCell="CD15" sqref="CD15"/>
    </sheetView>
  </sheetViews>
  <sheetFormatPr defaultColWidth="9.08984375" defaultRowHeight="13" x14ac:dyDescent="0.3"/>
  <cols>
    <col min="1" max="1" width="71.7265625" style="1" customWidth="1"/>
    <col min="2" max="13" width="7.90625" style="1" hidden="1" customWidth="1"/>
    <col min="14" max="19" width="8.453125" style="2" hidden="1" customWidth="1"/>
    <col min="20" max="24" width="8.453125" style="1" hidden="1" customWidth="1"/>
    <col min="25" max="25" width="8.90625" style="1" hidden="1" customWidth="1"/>
    <col min="26" max="27" width="8" style="1" hidden="1" customWidth="1"/>
    <col min="28" max="28" width="7.90625" style="1" hidden="1" customWidth="1"/>
    <col min="29" max="30" width="8" style="1" hidden="1" customWidth="1"/>
    <col min="31" max="32" width="8.453125" style="1" hidden="1" customWidth="1"/>
    <col min="33" max="33" width="8" style="1" hidden="1" customWidth="1"/>
    <col min="34" max="44" width="8.36328125" style="1" hidden="1" customWidth="1"/>
    <col min="45" max="47" width="8.453125" style="1" hidden="1" customWidth="1"/>
    <col min="48" max="48" width="8.36328125" style="1" hidden="1" customWidth="1"/>
    <col min="49" max="50" width="8.453125" style="1" hidden="1" customWidth="1"/>
    <col min="51" max="51" width="10.08984375" style="1" hidden="1" customWidth="1"/>
    <col min="52" max="52" width="8.90625" style="1" hidden="1" customWidth="1"/>
    <col min="53" max="53" width="9.08984375" style="1" hidden="1" customWidth="1"/>
    <col min="54" max="56" width="8.90625" style="1" hidden="1" customWidth="1"/>
    <col min="57" max="57" width="9" style="1" hidden="1" customWidth="1"/>
    <col min="58" max="58" width="8.90625" style="1" hidden="1" customWidth="1"/>
    <col min="59" max="59" width="8.453125" style="1" hidden="1" customWidth="1"/>
    <col min="60" max="60" width="9.08984375" style="1" hidden="1" customWidth="1"/>
    <col min="61" max="61" width="9" style="1" hidden="1" customWidth="1"/>
    <col min="62" max="62" width="9.08984375" style="1" hidden="1" customWidth="1"/>
    <col min="63" max="63" width="8.453125" style="1" hidden="1" customWidth="1"/>
    <col min="64" max="64" width="9" style="1" hidden="1" customWidth="1"/>
    <col min="65" max="65" width="9.08984375" style="1" hidden="1" customWidth="1"/>
    <col min="66" max="66" width="9" style="1" hidden="1" customWidth="1"/>
    <col min="67" max="67" width="9.36328125" style="1" hidden="1" customWidth="1"/>
    <col min="68" max="68" width="8.6328125" style="1" hidden="1" customWidth="1"/>
    <col min="69" max="69" width="9.6328125" style="1" hidden="1" customWidth="1"/>
    <col min="70" max="70" width="9" style="1" hidden="1" customWidth="1"/>
    <col min="71" max="71" width="8.453125" style="1" hidden="1" customWidth="1"/>
    <col min="72" max="73" width="9.36328125" style="1" hidden="1" customWidth="1"/>
    <col min="74" max="75" width="10.90625" style="1" hidden="1" customWidth="1"/>
    <col min="76" max="78" width="10.36328125" style="1" customWidth="1"/>
    <col min="79" max="16384" width="9.08984375" style="1"/>
  </cols>
  <sheetData>
    <row r="1" spans="1:78" ht="21.25" customHeight="1" x14ac:dyDescent="0.3">
      <c r="A1" s="1215" t="s">
        <v>102</v>
      </c>
      <c r="B1" s="1215"/>
      <c r="C1" s="1215"/>
      <c r="D1" s="1215"/>
      <c r="E1" s="1215"/>
      <c r="F1" s="1215"/>
      <c r="G1" s="1215"/>
      <c r="H1" s="1215"/>
      <c r="I1" s="1215"/>
      <c r="J1" s="1215"/>
      <c r="K1" s="1215"/>
      <c r="L1" s="1215"/>
      <c r="M1" s="1215"/>
      <c r="N1" s="1215"/>
      <c r="O1" s="1215"/>
      <c r="P1" s="1215"/>
      <c r="Q1" s="1215"/>
      <c r="R1" s="1215"/>
      <c r="S1" s="1215"/>
      <c r="T1" s="1215"/>
      <c r="U1" s="1215"/>
      <c r="V1" s="1215"/>
      <c r="W1" s="1215"/>
      <c r="X1" s="1215"/>
      <c r="Y1" s="1215"/>
      <c r="Z1" s="1215"/>
      <c r="AA1" s="1215"/>
      <c r="AB1" s="1215"/>
      <c r="AC1" s="1215"/>
      <c r="AD1" s="1215"/>
      <c r="AE1" s="1215"/>
      <c r="AF1" s="1215"/>
      <c r="AG1" s="1215"/>
      <c r="AH1" s="1215"/>
      <c r="AI1" s="1215"/>
      <c r="AJ1" s="1215"/>
      <c r="AK1" s="1215"/>
      <c r="AL1" s="1215"/>
      <c r="AM1" s="1215"/>
      <c r="AN1" s="1215"/>
      <c r="AO1" s="1215"/>
      <c r="AP1" s="1215"/>
      <c r="AQ1" s="1215"/>
      <c r="AR1" s="1215"/>
      <c r="AS1" s="1215"/>
      <c r="AT1" s="1215"/>
      <c r="AU1" s="1215"/>
      <c r="AV1" s="1215"/>
      <c r="AW1" s="1215"/>
      <c r="AX1" s="1215"/>
      <c r="AY1" s="1215"/>
      <c r="AZ1" s="1215"/>
      <c r="BA1" s="1215"/>
      <c r="BB1" s="1215"/>
      <c r="BC1" s="1215"/>
      <c r="BD1" s="1215"/>
      <c r="BE1" s="1215"/>
      <c r="BF1" s="1215"/>
      <c r="BG1" s="1215"/>
      <c r="BH1" s="1215"/>
      <c r="BI1" s="1215"/>
      <c r="BJ1" s="1215"/>
      <c r="BK1" s="1215"/>
      <c r="BL1" s="1215"/>
      <c r="BM1" s="1215"/>
      <c r="BN1" s="1215"/>
      <c r="BO1" s="1215"/>
      <c r="BP1" s="1215"/>
      <c r="BQ1" s="1215"/>
      <c r="BR1" s="1215"/>
      <c r="BS1" s="1215"/>
      <c r="BT1" s="1215"/>
      <c r="BU1" s="1215"/>
      <c r="BV1" s="1215"/>
      <c r="BW1" s="1215"/>
      <c r="BX1" s="1215"/>
      <c r="BY1" s="1215"/>
      <c r="BZ1" s="1215"/>
    </row>
    <row r="2" spans="1:78" ht="10.25" customHeight="1" x14ac:dyDescent="0.3">
      <c r="A2" s="52" t="s">
        <v>101</v>
      </c>
      <c r="BY2" s="1128"/>
      <c r="BZ2" s="1128" t="s">
        <v>144</v>
      </c>
    </row>
    <row r="3" spans="1:78" x14ac:dyDescent="0.3">
      <c r="A3" s="60"/>
      <c r="B3" s="59" t="s">
        <v>100</v>
      </c>
      <c r="C3" s="59" t="s">
        <v>99</v>
      </c>
      <c r="D3" s="59" t="s">
        <v>98</v>
      </c>
      <c r="E3" s="59" t="s">
        <v>97</v>
      </c>
      <c r="F3" s="57">
        <v>39234</v>
      </c>
      <c r="G3" s="58">
        <v>39629</v>
      </c>
      <c r="H3" s="58">
        <v>39721</v>
      </c>
      <c r="I3" s="58">
        <v>39813</v>
      </c>
      <c r="J3" s="58">
        <v>39903</v>
      </c>
      <c r="K3" s="57">
        <v>39965</v>
      </c>
      <c r="L3" s="57">
        <v>40057</v>
      </c>
      <c r="M3" s="57">
        <v>40148</v>
      </c>
      <c r="N3" s="57">
        <v>40238</v>
      </c>
      <c r="O3" s="57">
        <v>40330</v>
      </c>
      <c r="P3" s="57">
        <v>40422</v>
      </c>
      <c r="Q3" s="57">
        <v>40513</v>
      </c>
      <c r="R3" s="57">
        <v>40633</v>
      </c>
      <c r="S3" s="57">
        <v>40724</v>
      </c>
      <c r="T3" s="58">
        <v>40797</v>
      </c>
      <c r="U3" s="58">
        <v>40888</v>
      </c>
      <c r="V3" s="57">
        <v>40999</v>
      </c>
      <c r="W3" s="57">
        <v>41090</v>
      </c>
      <c r="X3" s="57">
        <v>41164</v>
      </c>
      <c r="Y3" s="57">
        <v>41255</v>
      </c>
      <c r="Z3" s="58">
        <v>41346</v>
      </c>
      <c r="AA3" s="57">
        <v>41455</v>
      </c>
      <c r="AB3" s="57">
        <v>41529</v>
      </c>
      <c r="AC3" s="57">
        <v>41620</v>
      </c>
      <c r="AD3" s="58">
        <v>41711</v>
      </c>
      <c r="AE3" s="58">
        <v>41803</v>
      </c>
      <c r="AF3" s="58">
        <v>41895</v>
      </c>
      <c r="AG3" s="58">
        <v>41986</v>
      </c>
      <c r="AH3" s="58">
        <v>42076</v>
      </c>
      <c r="AI3" s="57" t="s">
        <v>96</v>
      </c>
      <c r="AJ3" s="57" t="s">
        <v>95</v>
      </c>
      <c r="AK3" s="57" t="s">
        <v>94</v>
      </c>
      <c r="AL3" s="57" t="s">
        <v>93</v>
      </c>
      <c r="AM3" s="57" t="s">
        <v>92</v>
      </c>
      <c r="AN3" s="57" t="s">
        <v>91</v>
      </c>
      <c r="AO3" s="57" t="s">
        <v>90</v>
      </c>
      <c r="AP3" s="57" t="s">
        <v>89</v>
      </c>
      <c r="AQ3" s="57" t="s">
        <v>88</v>
      </c>
      <c r="AR3" s="57" t="s">
        <v>87</v>
      </c>
      <c r="AS3" s="57" t="s">
        <v>86</v>
      </c>
      <c r="AT3" s="57" t="s">
        <v>85</v>
      </c>
      <c r="AU3" s="57" t="s">
        <v>84</v>
      </c>
      <c r="AV3" s="57" t="s">
        <v>83</v>
      </c>
      <c r="AW3" s="57" t="s">
        <v>82</v>
      </c>
      <c r="AX3" s="57" t="s">
        <v>81</v>
      </c>
      <c r="AY3" s="57" t="s">
        <v>80</v>
      </c>
      <c r="AZ3" s="57" t="s">
        <v>79</v>
      </c>
      <c r="BA3" s="57" t="s">
        <v>78</v>
      </c>
      <c r="BB3" s="57" t="s">
        <v>77</v>
      </c>
      <c r="BC3" s="57" t="s">
        <v>76</v>
      </c>
      <c r="BD3" s="57" t="s">
        <v>75</v>
      </c>
      <c r="BE3" s="57" t="s">
        <v>74</v>
      </c>
      <c r="BF3" s="57" t="s">
        <v>73</v>
      </c>
      <c r="BG3" s="57" t="s">
        <v>72</v>
      </c>
      <c r="BH3" s="57" t="s">
        <v>71</v>
      </c>
      <c r="BI3" s="57" t="s">
        <v>70</v>
      </c>
      <c r="BJ3" s="57" t="s">
        <v>69</v>
      </c>
      <c r="BK3" s="57" t="s">
        <v>68</v>
      </c>
      <c r="BL3" s="57" t="s">
        <v>67</v>
      </c>
      <c r="BM3" s="57" t="s">
        <v>66</v>
      </c>
      <c r="BN3" s="57" t="s">
        <v>65</v>
      </c>
      <c r="BO3" s="57" t="s">
        <v>64</v>
      </c>
      <c r="BP3" s="57" t="s">
        <v>63</v>
      </c>
      <c r="BQ3" s="57" t="s">
        <v>62</v>
      </c>
      <c r="BR3" s="57" t="s">
        <v>61</v>
      </c>
      <c r="BS3" s="57" t="s">
        <v>60</v>
      </c>
      <c r="BT3" s="57" t="s">
        <v>59</v>
      </c>
      <c r="BU3" s="57" t="s">
        <v>58</v>
      </c>
      <c r="BV3" s="57" t="s">
        <v>57</v>
      </c>
      <c r="BW3" s="57" t="s">
        <v>56</v>
      </c>
      <c r="BX3" s="57" t="s">
        <v>55</v>
      </c>
      <c r="BY3" s="57" t="s">
        <v>798</v>
      </c>
      <c r="BZ3" s="57" t="s">
        <v>893</v>
      </c>
    </row>
    <row r="4" spans="1:78" ht="13.65" customHeight="1" x14ac:dyDescent="0.3">
      <c r="A4" s="7"/>
      <c r="B4" s="56" t="s">
        <v>54</v>
      </c>
      <c r="C4" s="56" t="s">
        <v>54</v>
      </c>
      <c r="D4" s="56" t="s">
        <v>54</v>
      </c>
      <c r="E4" s="56" t="s">
        <v>54</v>
      </c>
      <c r="F4" s="56" t="s">
        <v>54</v>
      </c>
      <c r="G4" s="56" t="s">
        <v>54</v>
      </c>
      <c r="H4" s="56" t="s">
        <v>54</v>
      </c>
      <c r="I4" s="56" t="s">
        <v>54</v>
      </c>
      <c r="J4" s="56" t="s">
        <v>54</v>
      </c>
      <c r="K4" s="56" t="s">
        <v>54</v>
      </c>
      <c r="L4" s="56" t="s">
        <v>54</v>
      </c>
      <c r="M4" s="56" t="s">
        <v>54</v>
      </c>
      <c r="N4" s="56" t="s">
        <v>54</v>
      </c>
      <c r="O4" s="56" t="s">
        <v>54</v>
      </c>
      <c r="P4" s="56" t="s">
        <v>54</v>
      </c>
      <c r="Q4" s="56" t="s">
        <v>54</v>
      </c>
      <c r="R4" s="56" t="s">
        <v>54</v>
      </c>
      <c r="S4" s="56" t="s">
        <v>54</v>
      </c>
      <c r="T4" s="56" t="s">
        <v>54</v>
      </c>
      <c r="U4" s="56" t="s">
        <v>54</v>
      </c>
      <c r="V4" s="56" t="s">
        <v>54</v>
      </c>
      <c r="W4" s="56" t="s">
        <v>54</v>
      </c>
      <c r="X4" s="56" t="s">
        <v>54</v>
      </c>
      <c r="Y4" s="56" t="s">
        <v>54</v>
      </c>
      <c r="Z4" s="56" t="s">
        <v>54</v>
      </c>
      <c r="AA4" s="56" t="s">
        <v>54</v>
      </c>
      <c r="AB4" s="56" t="s">
        <v>54</v>
      </c>
      <c r="AC4" s="56" t="s">
        <v>54</v>
      </c>
      <c r="AD4" s="56" t="s">
        <v>54</v>
      </c>
      <c r="AE4" s="56" t="s">
        <v>54</v>
      </c>
      <c r="AF4" s="56" t="s">
        <v>54</v>
      </c>
      <c r="AG4" s="56" t="s">
        <v>54</v>
      </c>
      <c r="AH4" s="56" t="s">
        <v>54</v>
      </c>
      <c r="AI4" s="56" t="s">
        <v>54</v>
      </c>
      <c r="AJ4" s="56" t="s">
        <v>54</v>
      </c>
      <c r="AK4" s="56" t="s">
        <v>54</v>
      </c>
      <c r="AL4" s="56" t="s">
        <v>54</v>
      </c>
      <c r="AM4" s="56" t="s">
        <v>54</v>
      </c>
      <c r="AN4" s="56" t="s">
        <v>54</v>
      </c>
      <c r="AO4" s="56" t="s">
        <v>54</v>
      </c>
      <c r="AP4" s="56" t="s">
        <v>54</v>
      </c>
      <c r="AQ4" s="56" t="s">
        <v>54</v>
      </c>
      <c r="AR4" s="56" t="s">
        <v>54</v>
      </c>
      <c r="AS4" s="56" t="s">
        <v>54</v>
      </c>
      <c r="AT4" s="56" t="s">
        <v>54</v>
      </c>
      <c r="AU4" s="56" t="s">
        <v>54</v>
      </c>
      <c r="AV4" s="56" t="s">
        <v>54</v>
      </c>
      <c r="AW4" s="56" t="s">
        <v>54</v>
      </c>
      <c r="AX4" s="56" t="s">
        <v>54</v>
      </c>
      <c r="AY4" s="56" t="s">
        <v>54</v>
      </c>
      <c r="AZ4" s="56" t="s">
        <v>54</v>
      </c>
      <c r="BA4" s="56" t="s">
        <v>54</v>
      </c>
      <c r="BB4" s="56" t="s">
        <v>54</v>
      </c>
      <c r="BC4" s="56" t="s">
        <v>54</v>
      </c>
      <c r="BD4" s="56" t="s">
        <v>54</v>
      </c>
      <c r="BE4" s="56" t="s">
        <v>54</v>
      </c>
      <c r="BF4" s="56" t="s">
        <v>54</v>
      </c>
      <c r="BG4" s="56" t="s">
        <v>54</v>
      </c>
      <c r="BH4" s="56" t="s">
        <v>54</v>
      </c>
      <c r="BI4" s="56" t="s">
        <v>54</v>
      </c>
      <c r="BJ4" s="56" t="s">
        <v>54</v>
      </c>
      <c r="BK4" s="56" t="s">
        <v>54</v>
      </c>
      <c r="BL4" s="56" t="s">
        <v>54</v>
      </c>
      <c r="BM4" s="56" t="s">
        <v>54</v>
      </c>
      <c r="BN4" s="56" t="s">
        <v>54</v>
      </c>
      <c r="BO4" s="56" t="s">
        <v>54</v>
      </c>
      <c r="BP4" s="56" t="s">
        <v>54</v>
      </c>
      <c r="BQ4" s="56" t="s">
        <v>54</v>
      </c>
      <c r="BR4" s="56" t="s">
        <v>54</v>
      </c>
      <c r="BS4" s="56" t="s">
        <v>54</v>
      </c>
      <c r="BT4" s="56" t="s">
        <v>54</v>
      </c>
      <c r="BU4" s="56" t="s">
        <v>54</v>
      </c>
      <c r="BV4" s="56" t="s">
        <v>54</v>
      </c>
      <c r="BW4" s="56" t="s">
        <v>54</v>
      </c>
      <c r="BX4" s="56" t="s">
        <v>54</v>
      </c>
      <c r="BY4" s="56" t="s">
        <v>54</v>
      </c>
      <c r="BZ4" s="56" t="s">
        <v>53</v>
      </c>
    </row>
    <row r="5" spans="1:78" ht="4.6500000000000004" customHeight="1" x14ac:dyDescent="0.3">
      <c r="A5" s="30"/>
      <c r="B5" s="55"/>
      <c r="C5" s="55"/>
      <c r="D5" s="55"/>
      <c r="E5" s="55"/>
      <c r="F5" s="55"/>
      <c r="G5" s="30"/>
      <c r="H5" s="30"/>
      <c r="I5" s="30"/>
      <c r="J5" s="30"/>
      <c r="K5" s="30"/>
      <c r="L5" s="30"/>
      <c r="M5" s="30"/>
      <c r="N5" s="31"/>
      <c r="O5" s="31"/>
      <c r="P5" s="31"/>
      <c r="Q5" s="31"/>
      <c r="R5" s="31"/>
      <c r="S5" s="31"/>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row>
    <row r="6" spans="1:78" x14ac:dyDescent="0.3">
      <c r="A6" s="27" t="s">
        <v>52</v>
      </c>
      <c r="B6" s="14">
        <v>86413.3</v>
      </c>
      <c r="C6" s="14">
        <v>85002.1</v>
      </c>
      <c r="D6" s="14">
        <v>96583.6</v>
      </c>
      <c r="E6" s="14">
        <v>104828.6</v>
      </c>
      <c r="F6" s="14">
        <v>108668.40000000001</v>
      </c>
      <c r="G6" s="14">
        <v>109835.9</v>
      </c>
      <c r="H6" s="14">
        <v>110569</v>
      </c>
      <c r="I6" s="14">
        <v>107744</v>
      </c>
      <c r="J6" s="14">
        <v>112236.95</v>
      </c>
      <c r="K6" s="14">
        <v>117234</v>
      </c>
      <c r="L6" s="14">
        <v>118240</v>
      </c>
      <c r="M6" s="14">
        <v>125644</v>
      </c>
      <c r="N6" s="14">
        <v>123037</v>
      </c>
      <c r="O6" s="14">
        <v>126388</v>
      </c>
      <c r="P6" s="14">
        <v>127490</v>
      </c>
      <c r="Q6" s="14">
        <v>128557</v>
      </c>
      <c r="R6" s="14">
        <v>127940</v>
      </c>
      <c r="S6" s="14">
        <v>129803</v>
      </c>
      <c r="T6" s="14">
        <v>130546</v>
      </c>
      <c r="U6" s="14">
        <v>137219</v>
      </c>
      <c r="V6" s="14">
        <v>138273</v>
      </c>
      <c r="W6" s="14">
        <v>139737</v>
      </c>
      <c r="X6" s="14">
        <v>139856</v>
      </c>
      <c r="Y6" s="14">
        <v>140806</v>
      </c>
      <c r="Z6" s="14">
        <v>142757</v>
      </c>
      <c r="AA6" s="14">
        <v>143886</v>
      </c>
      <c r="AB6" s="14">
        <v>148079</v>
      </c>
      <c r="AC6" s="14">
        <v>149960</v>
      </c>
      <c r="AD6" s="14">
        <v>153558</v>
      </c>
      <c r="AE6" s="14">
        <v>156977</v>
      </c>
      <c r="AF6" s="14">
        <v>163043.70000000001</v>
      </c>
      <c r="AG6" s="14">
        <v>165285</v>
      </c>
      <c r="AH6" s="14">
        <v>168758.5</v>
      </c>
      <c r="AI6" s="14">
        <v>171908</v>
      </c>
      <c r="AJ6" s="14">
        <v>177634</v>
      </c>
      <c r="AK6" s="14">
        <v>181649</v>
      </c>
      <c r="AL6" s="14">
        <v>189891</v>
      </c>
      <c r="AM6" s="14">
        <v>197798</v>
      </c>
      <c r="AN6" s="14">
        <v>201699</v>
      </c>
      <c r="AO6" s="14">
        <v>206280</v>
      </c>
      <c r="AP6" s="14">
        <v>218029</v>
      </c>
      <c r="AQ6" s="14">
        <v>219202</v>
      </c>
      <c r="AR6" s="14">
        <v>217149</v>
      </c>
      <c r="AS6" s="14">
        <v>216645</v>
      </c>
      <c r="AT6" s="14">
        <v>219298</v>
      </c>
      <c r="AU6" s="14">
        <v>225783</v>
      </c>
      <c r="AV6" s="14">
        <v>234719</v>
      </c>
      <c r="AW6" s="14">
        <v>237162</v>
      </c>
      <c r="AX6" s="14">
        <v>246360</v>
      </c>
      <c r="AY6" s="14">
        <v>249277</v>
      </c>
      <c r="AZ6" s="14">
        <v>256650</v>
      </c>
      <c r="BA6" s="14">
        <v>258244</v>
      </c>
      <c r="BB6" s="14">
        <v>263516</v>
      </c>
      <c r="BC6" s="14">
        <v>304737</v>
      </c>
      <c r="BD6" s="14">
        <v>283614</v>
      </c>
      <c r="BE6" s="14">
        <v>274734</v>
      </c>
      <c r="BF6" s="14">
        <v>289298</v>
      </c>
      <c r="BG6" s="14">
        <v>320593</v>
      </c>
      <c r="BH6" s="14">
        <v>326660</v>
      </c>
      <c r="BI6" s="14">
        <v>315846</v>
      </c>
      <c r="BJ6" s="14">
        <v>323558</v>
      </c>
      <c r="BK6" s="14">
        <v>337907</v>
      </c>
      <c r="BL6" s="14">
        <v>349040</v>
      </c>
      <c r="BM6" s="14">
        <v>346107</v>
      </c>
      <c r="BN6" s="14">
        <v>352511</v>
      </c>
      <c r="BO6" s="14">
        <v>364773</v>
      </c>
      <c r="BP6" s="14">
        <v>372242</v>
      </c>
      <c r="BQ6" s="14">
        <v>382031</v>
      </c>
      <c r="BR6" s="14">
        <v>392438</v>
      </c>
      <c r="BS6" s="14">
        <v>406272</v>
      </c>
      <c r="BT6" s="14">
        <v>425087</v>
      </c>
      <c r="BU6" s="14">
        <v>441216</v>
      </c>
      <c r="BV6" s="14">
        <v>463617</v>
      </c>
      <c r="BW6" s="14">
        <v>473240</v>
      </c>
      <c r="BX6" s="14">
        <v>493871</v>
      </c>
      <c r="BY6" s="14">
        <v>499960</v>
      </c>
      <c r="BZ6" s="14">
        <v>511235.89624700003</v>
      </c>
    </row>
    <row r="7" spans="1:78" x14ac:dyDescent="0.3">
      <c r="A7" s="27" t="s">
        <v>51</v>
      </c>
      <c r="B7" s="14">
        <v>86413.3</v>
      </c>
      <c r="C7" s="14">
        <v>85002.1</v>
      </c>
      <c r="D7" s="14">
        <v>96583.6</v>
      </c>
      <c r="E7" s="14">
        <v>104828.6</v>
      </c>
      <c r="F7" s="14">
        <v>108668.40000000001</v>
      </c>
      <c r="G7" s="14">
        <v>109835.9</v>
      </c>
      <c r="H7" s="14">
        <v>110569</v>
      </c>
      <c r="I7" s="14">
        <v>107744</v>
      </c>
      <c r="J7" s="14">
        <v>112236.95</v>
      </c>
      <c r="K7" s="14">
        <v>117234</v>
      </c>
      <c r="L7" s="14">
        <v>118240</v>
      </c>
      <c r="M7" s="14">
        <v>125644</v>
      </c>
      <c r="N7" s="14">
        <v>123037</v>
      </c>
      <c r="O7" s="14">
        <v>126388</v>
      </c>
      <c r="P7" s="14">
        <v>127490</v>
      </c>
      <c r="Q7" s="14">
        <v>128557</v>
      </c>
      <c r="R7" s="14">
        <v>127940</v>
      </c>
      <c r="S7" s="14">
        <v>129803</v>
      </c>
      <c r="T7" s="14">
        <v>130546</v>
      </c>
      <c r="U7" s="14">
        <v>137219</v>
      </c>
      <c r="V7" s="14">
        <v>138273</v>
      </c>
      <c r="W7" s="14">
        <v>139737</v>
      </c>
      <c r="X7" s="14">
        <v>139856</v>
      </c>
      <c r="Y7" s="14">
        <v>140806</v>
      </c>
      <c r="Z7" s="14">
        <v>142757</v>
      </c>
      <c r="AA7" s="14">
        <v>143886</v>
      </c>
      <c r="AB7" s="14">
        <v>148079</v>
      </c>
      <c r="AC7" s="14">
        <v>149960</v>
      </c>
      <c r="AD7" s="14">
        <v>153558</v>
      </c>
      <c r="AE7" s="14">
        <v>156977</v>
      </c>
      <c r="AF7" s="14">
        <v>159541.70000000001</v>
      </c>
      <c r="AG7" s="14">
        <v>159863</v>
      </c>
      <c r="AH7" s="14">
        <v>164080.5</v>
      </c>
      <c r="AI7" s="14">
        <v>168331</v>
      </c>
      <c r="AJ7" s="14">
        <v>174391</v>
      </c>
      <c r="AK7" s="14">
        <v>175682</v>
      </c>
      <c r="AL7" s="14">
        <v>179483</v>
      </c>
      <c r="AM7" s="14">
        <v>184992</v>
      </c>
      <c r="AN7" s="14">
        <v>186902</v>
      </c>
      <c r="AO7" s="14">
        <v>196108</v>
      </c>
      <c r="AP7" s="14">
        <v>202082</v>
      </c>
      <c r="AQ7" s="14">
        <v>204766</v>
      </c>
      <c r="AR7" s="14">
        <v>210783</v>
      </c>
      <c r="AS7" s="14">
        <v>212918</v>
      </c>
      <c r="AT7" s="14">
        <v>218277</v>
      </c>
      <c r="AU7" s="14">
        <v>224889</v>
      </c>
      <c r="AV7" s="14">
        <v>233825</v>
      </c>
      <c r="AW7" s="14">
        <v>236268</v>
      </c>
      <c r="AX7" s="14">
        <v>245467</v>
      </c>
      <c r="AY7" s="14">
        <v>248384</v>
      </c>
      <c r="AZ7" s="14">
        <v>256381</v>
      </c>
      <c r="BA7" s="14">
        <v>258130</v>
      </c>
      <c r="BB7" s="14">
        <v>263516</v>
      </c>
      <c r="BC7" s="14">
        <v>304737</v>
      </c>
      <c r="BD7" s="14">
        <v>283614</v>
      </c>
      <c r="BE7" s="14">
        <v>274734</v>
      </c>
      <c r="BF7" s="14">
        <v>289298</v>
      </c>
      <c r="BG7" s="14">
        <v>320593</v>
      </c>
      <c r="BH7" s="14">
        <v>326660</v>
      </c>
      <c r="BI7" s="14">
        <v>315846</v>
      </c>
      <c r="BJ7" s="14">
        <v>323558</v>
      </c>
      <c r="BK7" s="14">
        <v>337907</v>
      </c>
      <c r="BL7" s="14">
        <v>349040</v>
      </c>
      <c r="BM7" s="14">
        <v>346107</v>
      </c>
      <c r="BN7" s="14">
        <v>352511</v>
      </c>
      <c r="BO7" s="14">
        <v>364773</v>
      </c>
      <c r="BP7" s="14">
        <v>372242</v>
      </c>
      <c r="BQ7" s="14">
        <v>382031</v>
      </c>
      <c r="BR7" s="14">
        <v>392438</v>
      </c>
      <c r="BS7" s="14">
        <v>406272</v>
      </c>
      <c r="BT7" s="14">
        <v>425087</v>
      </c>
      <c r="BU7" s="14">
        <v>441216</v>
      </c>
      <c r="BV7" s="14">
        <v>463617</v>
      </c>
      <c r="BW7" s="14">
        <v>473240</v>
      </c>
      <c r="BX7" s="14">
        <v>493871</v>
      </c>
      <c r="BY7" s="14">
        <v>499960</v>
      </c>
      <c r="BZ7" s="14">
        <v>511235.89624700003</v>
      </c>
    </row>
    <row r="8" spans="1:78" ht="12.9" customHeight="1" x14ac:dyDescent="0.3">
      <c r="A8" s="48" t="s">
        <v>50</v>
      </c>
      <c r="B8" s="47">
        <v>18610</v>
      </c>
      <c r="C8" s="47">
        <v>17262.5</v>
      </c>
      <c r="D8" s="47">
        <v>26357.9</v>
      </c>
      <c r="E8" s="47">
        <v>33456.299999999996</v>
      </c>
      <c r="F8" s="47">
        <v>39340.200000000004</v>
      </c>
      <c r="G8" s="47">
        <v>36561.800000000003</v>
      </c>
      <c r="H8" s="47">
        <v>35536.699999999997</v>
      </c>
      <c r="I8" s="47">
        <v>28252.2</v>
      </c>
      <c r="J8" s="47">
        <v>30578.2</v>
      </c>
      <c r="K8" s="47">
        <v>37022</v>
      </c>
      <c r="L8" s="47">
        <v>35097</v>
      </c>
      <c r="M8" s="47">
        <v>39322</v>
      </c>
      <c r="N8" s="47">
        <v>36602</v>
      </c>
      <c r="O8" s="47">
        <v>40159</v>
      </c>
      <c r="P8" s="47">
        <v>34805</v>
      </c>
      <c r="Q8" s="47">
        <v>33909</v>
      </c>
      <c r="R8" s="47">
        <v>33700</v>
      </c>
      <c r="S8" s="47">
        <v>33753</v>
      </c>
      <c r="T8" s="47">
        <v>31691</v>
      </c>
      <c r="U8" s="47">
        <v>36067</v>
      </c>
      <c r="V8" s="47">
        <v>33333</v>
      </c>
      <c r="W8" s="47">
        <v>31835</v>
      </c>
      <c r="X8" s="47">
        <v>28324</v>
      </c>
      <c r="Y8" s="47">
        <v>31093</v>
      </c>
      <c r="Z8" s="47">
        <v>31307</v>
      </c>
      <c r="AA8" s="47">
        <v>29880</v>
      </c>
      <c r="AB8" s="47">
        <v>28851</v>
      </c>
      <c r="AC8" s="47">
        <v>27497</v>
      </c>
      <c r="AD8" s="47">
        <v>23793</v>
      </c>
      <c r="AE8" s="47">
        <v>22984</v>
      </c>
      <c r="AF8" s="47">
        <v>20960.7</v>
      </c>
      <c r="AG8" s="47">
        <v>22647</v>
      </c>
      <c r="AH8" s="47">
        <v>22091</v>
      </c>
      <c r="AI8" s="47">
        <v>23852</v>
      </c>
      <c r="AJ8" s="47">
        <v>24354</v>
      </c>
      <c r="AK8" s="47">
        <v>22386</v>
      </c>
      <c r="AL8" s="47">
        <v>23781</v>
      </c>
      <c r="AM8" s="47">
        <v>22982</v>
      </c>
      <c r="AN8" s="47">
        <v>22488</v>
      </c>
      <c r="AO8" s="47">
        <v>23907</v>
      </c>
      <c r="AP8" s="47">
        <v>24932</v>
      </c>
      <c r="AQ8" s="47">
        <v>25792</v>
      </c>
      <c r="AR8" s="47">
        <v>25793</v>
      </c>
      <c r="AS8" s="47">
        <v>25273</v>
      </c>
      <c r="AT8" s="47">
        <v>25060</v>
      </c>
      <c r="AU8" s="47">
        <v>25856</v>
      </c>
      <c r="AV8" s="47">
        <v>27938</v>
      </c>
      <c r="AW8" s="47">
        <v>26283</v>
      </c>
      <c r="AX8" s="47">
        <v>29088</v>
      </c>
      <c r="AY8" s="47">
        <v>31590</v>
      </c>
      <c r="AZ8" s="47">
        <v>28161</v>
      </c>
      <c r="BA8" s="47">
        <v>27271</v>
      </c>
      <c r="BB8" s="47">
        <v>30168</v>
      </c>
      <c r="BC8" s="47">
        <v>46363</v>
      </c>
      <c r="BD8" s="47">
        <v>34145</v>
      </c>
      <c r="BE8" s="47">
        <v>24792</v>
      </c>
      <c r="BF8" s="47">
        <v>28932</v>
      </c>
      <c r="BG8" s="47">
        <v>38163</v>
      </c>
      <c r="BH8" s="47">
        <v>37925</v>
      </c>
      <c r="BI8" s="47">
        <v>32400</v>
      </c>
      <c r="BJ8" s="47">
        <v>34248</v>
      </c>
      <c r="BK8" s="47">
        <v>38787</v>
      </c>
      <c r="BL8" s="47">
        <v>43145</v>
      </c>
      <c r="BM8" s="47">
        <v>40521</v>
      </c>
      <c r="BN8" s="47">
        <v>38561</v>
      </c>
      <c r="BO8" s="47">
        <v>39611</v>
      </c>
      <c r="BP8" s="47">
        <v>37615</v>
      </c>
      <c r="BQ8" s="47">
        <v>41861</v>
      </c>
      <c r="BR8" s="47">
        <v>46341</v>
      </c>
      <c r="BS8" s="47">
        <v>59732</v>
      </c>
      <c r="BT8" s="47">
        <v>68382</v>
      </c>
      <c r="BU8" s="47">
        <v>78641</v>
      </c>
      <c r="BV8" s="47">
        <v>93430</v>
      </c>
      <c r="BW8" s="47">
        <v>96834</v>
      </c>
      <c r="BX8" s="47">
        <v>103632</v>
      </c>
      <c r="BY8" s="47">
        <v>95776</v>
      </c>
      <c r="BZ8" s="47">
        <v>95058</v>
      </c>
    </row>
    <row r="9" spans="1:78" ht="13.65" customHeight="1" x14ac:dyDescent="0.3">
      <c r="A9" s="48" t="s">
        <v>49</v>
      </c>
      <c r="B9" s="47">
        <v>55529</v>
      </c>
      <c r="C9" s="47">
        <v>51070.3</v>
      </c>
      <c r="D9" s="47">
        <v>49594.6</v>
      </c>
      <c r="E9" s="47">
        <v>45800.7</v>
      </c>
      <c r="F9" s="47">
        <v>39230.6</v>
      </c>
      <c r="G9" s="47">
        <v>39393.899999999994</v>
      </c>
      <c r="H9" s="47">
        <v>40483.799999999996</v>
      </c>
      <c r="I9" s="47">
        <v>43139.200000000004</v>
      </c>
      <c r="J9" s="47">
        <v>45312.15</v>
      </c>
      <c r="K9" s="47">
        <v>40182</v>
      </c>
      <c r="L9" s="47">
        <v>40978</v>
      </c>
      <c r="M9" s="47">
        <v>41828</v>
      </c>
      <c r="N9" s="47">
        <v>42315</v>
      </c>
      <c r="O9" s="47">
        <v>40098</v>
      </c>
      <c r="P9" s="47">
        <v>42161</v>
      </c>
      <c r="Q9" s="47">
        <v>44049</v>
      </c>
      <c r="R9" s="47">
        <v>42365</v>
      </c>
      <c r="S9" s="47">
        <v>41973</v>
      </c>
      <c r="T9" s="47">
        <v>43080</v>
      </c>
      <c r="U9" s="47">
        <v>42632</v>
      </c>
      <c r="V9" s="47">
        <v>44326</v>
      </c>
      <c r="W9" s="47">
        <v>43637</v>
      </c>
      <c r="X9" s="47">
        <v>43981</v>
      </c>
      <c r="Y9" s="47">
        <v>40174</v>
      </c>
      <c r="Z9" s="47">
        <v>40065</v>
      </c>
      <c r="AA9" s="47">
        <v>40697</v>
      </c>
      <c r="AB9" s="47">
        <v>41522</v>
      </c>
      <c r="AC9" s="47">
        <v>43251</v>
      </c>
      <c r="AD9" s="47">
        <v>47154</v>
      </c>
      <c r="AE9" s="47">
        <v>50692</v>
      </c>
      <c r="AF9" s="47">
        <v>53059</v>
      </c>
      <c r="AG9" s="47">
        <v>47911</v>
      </c>
      <c r="AH9" s="47">
        <v>49675.5</v>
      </c>
      <c r="AI9" s="47">
        <v>49610</v>
      </c>
      <c r="AJ9" s="47">
        <v>51057</v>
      </c>
      <c r="AK9" s="47">
        <v>51104</v>
      </c>
      <c r="AL9" s="47">
        <v>49704</v>
      </c>
      <c r="AM9" s="47">
        <v>49124</v>
      </c>
      <c r="AN9" s="47">
        <v>48879</v>
      </c>
      <c r="AO9" s="47">
        <v>52769</v>
      </c>
      <c r="AP9" s="47">
        <v>51549</v>
      </c>
      <c r="AQ9" s="47">
        <v>51920</v>
      </c>
      <c r="AR9" s="47">
        <v>50600</v>
      </c>
      <c r="AS9" s="47">
        <v>49899</v>
      </c>
      <c r="AT9" s="47">
        <v>54899</v>
      </c>
      <c r="AU9" s="47">
        <v>54393</v>
      </c>
      <c r="AV9" s="47">
        <v>55362</v>
      </c>
      <c r="AW9" s="47">
        <v>56791</v>
      </c>
      <c r="AX9" s="47">
        <v>57691</v>
      </c>
      <c r="AY9" s="47">
        <v>56106</v>
      </c>
      <c r="AZ9" s="47">
        <v>59106</v>
      </c>
      <c r="BA9" s="47">
        <v>59801</v>
      </c>
      <c r="BB9" s="47">
        <v>55978</v>
      </c>
      <c r="BC9" s="47">
        <v>63178</v>
      </c>
      <c r="BD9" s="47">
        <v>58178</v>
      </c>
      <c r="BE9" s="47">
        <v>56973</v>
      </c>
      <c r="BF9" s="47">
        <v>56270</v>
      </c>
      <c r="BG9" s="47">
        <v>62777</v>
      </c>
      <c r="BH9" s="47">
        <v>63785</v>
      </c>
      <c r="BI9" s="47">
        <v>56889</v>
      </c>
      <c r="BJ9" s="47">
        <v>59877</v>
      </c>
      <c r="BK9" s="47">
        <v>57699</v>
      </c>
      <c r="BL9" s="47">
        <v>60492</v>
      </c>
      <c r="BM9" s="47">
        <v>57860</v>
      </c>
      <c r="BN9" s="47">
        <v>55660</v>
      </c>
      <c r="BO9" s="47">
        <v>62546</v>
      </c>
      <c r="BP9" s="47">
        <v>68140</v>
      </c>
      <c r="BQ9" s="47">
        <v>68942</v>
      </c>
      <c r="BR9" s="47">
        <v>70735</v>
      </c>
      <c r="BS9" s="47">
        <v>67329</v>
      </c>
      <c r="BT9" s="47">
        <v>67714</v>
      </c>
      <c r="BU9" s="47">
        <v>70884</v>
      </c>
      <c r="BV9" s="47">
        <v>66328</v>
      </c>
      <c r="BW9" s="47">
        <v>72108</v>
      </c>
      <c r="BX9" s="47">
        <v>76057</v>
      </c>
      <c r="BY9" s="47">
        <v>79128</v>
      </c>
      <c r="BZ9" s="47">
        <v>83328.75</v>
      </c>
    </row>
    <row r="10" spans="1:78" ht="12.9" customHeight="1" x14ac:dyDescent="0.3">
      <c r="A10" s="48" t="s">
        <v>48</v>
      </c>
      <c r="B10" s="47">
        <v>866.3</v>
      </c>
      <c r="C10" s="47">
        <v>2835.2</v>
      </c>
      <c r="D10" s="47">
        <v>4866.3</v>
      </c>
      <c r="E10" s="47">
        <v>7866.3</v>
      </c>
      <c r="F10" s="47">
        <v>10866.3</v>
      </c>
      <c r="G10" s="47">
        <v>13107.8</v>
      </c>
      <c r="H10" s="47">
        <v>12776.1</v>
      </c>
      <c r="I10" s="47">
        <v>13580.2</v>
      </c>
      <c r="J10" s="47">
        <v>14080.2</v>
      </c>
      <c r="K10" s="47">
        <v>17138.900000000001</v>
      </c>
      <c r="L10" s="47">
        <v>18273.900000000001</v>
      </c>
      <c r="M10" s="47">
        <v>19603.3</v>
      </c>
      <c r="N10" s="47">
        <v>19229.099999999999</v>
      </c>
      <c r="O10" s="47">
        <v>21911.1</v>
      </c>
      <c r="P10" s="47">
        <v>21411.1</v>
      </c>
      <c r="Q10" s="47">
        <v>20967.400000000001</v>
      </c>
      <c r="R10" s="47">
        <v>22086</v>
      </c>
      <c r="S10" s="47">
        <v>22740</v>
      </c>
      <c r="T10" s="47">
        <v>23154</v>
      </c>
      <c r="U10" s="47">
        <v>23954</v>
      </c>
      <c r="V10" s="47">
        <v>25474</v>
      </c>
      <c r="W10" s="47">
        <v>27674</v>
      </c>
      <c r="X10" s="47">
        <v>28534</v>
      </c>
      <c r="Y10" s="47">
        <v>29647</v>
      </c>
      <c r="Z10" s="47">
        <v>30097</v>
      </c>
      <c r="AA10" s="47">
        <v>31022</v>
      </c>
      <c r="AB10" s="47">
        <v>32054</v>
      </c>
      <c r="AC10" s="47">
        <v>33149</v>
      </c>
      <c r="AD10" s="47">
        <v>33749</v>
      </c>
      <c r="AE10" s="47">
        <v>34222</v>
      </c>
      <c r="AF10" s="47">
        <v>33722</v>
      </c>
      <c r="AG10" s="47">
        <v>35999</v>
      </c>
      <c r="AH10" s="47">
        <v>37499</v>
      </c>
      <c r="AI10" s="47">
        <v>35242</v>
      </c>
      <c r="AJ10" s="47">
        <v>36542</v>
      </c>
      <c r="AK10" s="47">
        <v>38976</v>
      </c>
      <c r="AL10" s="47">
        <v>40475</v>
      </c>
      <c r="AM10" s="47">
        <v>43275</v>
      </c>
      <c r="AN10" s="47">
        <v>42153</v>
      </c>
      <c r="AO10" s="47">
        <v>45353</v>
      </c>
      <c r="AP10" s="47">
        <v>47653</v>
      </c>
      <c r="AQ10" s="47">
        <v>48543</v>
      </c>
      <c r="AR10" s="47">
        <v>52543</v>
      </c>
      <c r="AS10" s="47">
        <v>54175</v>
      </c>
      <c r="AT10" s="47">
        <v>51350</v>
      </c>
      <c r="AU10" s="47">
        <v>55346</v>
      </c>
      <c r="AV10" s="47">
        <v>57230</v>
      </c>
      <c r="AW10" s="47">
        <v>57000</v>
      </c>
      <c r="AX10" s="47">
        <v>60999</v>
      </c>
      <c r="AY10" s="47">
        <v>60899</v>
      </c>
      <c r="AZ10" s="47">
        <v>62061</v>
      </c>
      <c r="BA10" s="47">
        <v>61170</v>
      </c>
      <c r="BB10" s="47">
        <v>64256</v>
      </c>
      <c r="BC10" s="47">
        <v>80422</v>
      </c>
      <c r="BD10" s="47">
        <v>80422</v>
      </c>
      <c r="BE10" s="47">
        <v>80123</v>
      </c>
      <c r="BF10" s="47">
        <v>85745</v>
      </c>
      <c r="BG10" s="47">
        <v>91876</v>
      </c>
      <c r="BH10" s="47">
        <v>95627</v>
      </c>
      <c r="BI10" s="47">
        <v>95638</v>
      </c>
      <c r="BJ10" s="47">
        <v>94048</v>
      </c>
      <c r="BK10" s="47">
        <v>100682</v>
      </c>
      <c r="BL10" s="47">
        <v>101236</v>
      </c>
      <c r="BM10" s="47">
        <v>100291</v>
      </c>
      <c r="BN10" s="47">
        <v>105286</v>
      </c>
      <c r="BO10" s="47">
        <v>104292</v>
      </c>
      <c r="BP10" s="47">
        <v>105992</v>
      </c>
      <c r="BQ10" s="47">
        <v>109398</v>
      </c>
      <c r="BR10" s="47">
        <v>112690</v>
      </c>
      <c r="BS10" s="47">
        <v>111403</v>
      </c>
      <c r="BT10" s="47">
        <v>116704</v>
      </c>
      <c r="BU10" s="47">
        <v>114296</v>
      </c>
      <c r="BV10" s="47">
        <v>122492</v>
      </c>
      <c r="BW10" s="47">
        <v>117982</v>
      </c>
      <c r="BX10" s="47">
        <v>127148</v>
      </c>
      <c r="BY10" s="47">
        <v>132712</v>
      </c>
      <c r="BZ10" s="47">
        <v>132369.20000000001</v>
      </c>
    </row>
    <row r="11" spans="1:78" ht="12.65" customHeight="1" x14ac:dyDescent="0.3">
      <c r="A11" s="48" t="s">
        <v>47</v>
      </c>
      <c r="B11" s="47">
        <v>11408</v>
      </c>
      <c r="C11" s="47">
        <v>13834.099999999999</v>
      </c>
      <c r="D11" s="47">
        <v>15764.8</v>
      </c>
      <c r="E11" s="47">
        <v>17705.3</v>
      </c>
      <c r="F11" s="47">
        <v>19231.3</v>
      </c>
      <c r="G11" s="47">
        <v>20772.399999999998</v>
      </c>
      <c r="H11" s="47">
        <v>21772.400000000001</v>
      </c>
      <c r="I11" s="47">
        <v>22772.399999999998</v>
      </c>
      <c r="J11" s="47">
        <v>22266.399999999998</v>
      </c>
      <c r="K11" s="47">
        <v>22891.1</v>
      </c>
      <c r="L11" s="47">
        <v>23891.1</v>
      </c>
      <c r="M11" s="47">
        <v>24890.7</v>
      </c>
      <c r="N11" s="47">
        <v>24890.9</v>
      </c>
      <c r="O11" s="47">
        <v>24219.9</v>
      </c>
      <c r="P11" s="47">
        <v>29112.9</v>
      </c>
      <c r="Q11" s="47">
        <v>29631.599999999999</v>
      </c>
      <c r="R11" s="54">
        <v>29789</v>
      </c>
      <c r="S11" s="54">
        <v>31337</v>
      </c>
      <c r="T11" s="54">
        <v>32621</v>
      </c>
      <c r="U11" s="47">
        <v>34566</v>
      </c>
      <c r="V11" s="47">
        <v>35140</v>
      </c>
      <c r="W11" s="47">
        <v>36591</v>
      </c>
      <c r="X11" s="47">
        <v>39017</v>
      </c>
      <c r="Y11" s="47">
        <v>39892</v>
      </c>
      <c r="Z11" s="47">
        <v>41288</v>
      </c>
      <c r="AA11" s="47">
        <v>42287</v>
      </c>
      <c r="AB11" s="47">
        <v>45652</v>
      </c>
      <c r="AC11" s="47">
        <v>46063</v>
      </c>
      <c r="AD11" s="47">
        <v>48862</v>
      </c>
      <c r="AE11" s="47">
        <v>49079</v>
      </c>
      <c r="AF11" s="47">
        <v>51800</v>
      </c>
      <c r="AG11" s="47">
        <v>53306</v>
      </c>
      <c r="AH11" s="47">
        <v>54815</v>
      </c>
      <c r="AI11" s="47">
        <v>59627</v>
      </c>
      <c r="AJ11" s="47">
        <v>62438</v>
      </c>
      <c r="AK11" s="47">
        <v>63216</v>
      </c>
      <c r="AL11" s="47">
        <v>65523</v>
      </c>
      <c r="AM11" s="47">
        <v>69611</v>
      </c>
      <c r="AN11" s="47">
        <v>73382</v>
      </c>
      <c r="AO11" s="47">
        <v>74079</v>
      </c>
      <c r="AP11" s="47">
        <v>77948</v>
      </c>
      <c r="AQ11" s="47">
        <v>78511</v>
      </c>
      <c r="AR11" s="47">
        <v>81847</v>
      </c>
      <c r="AS11" s="47">
        <v>83571</v>
      </c>
      <c r="AT11" s="47">
        <v>86968</v>
      </c>
      <c r="AU11" s="47">
        <v>89294</v>
      </c>
      <c r="AV11" s="47">
        <v>93295</v>
      </c>
      <c r="AW11" s="47">
        <v>96194</v>
      </c>
      <c r="AX11" s="47">
        <v>97689</v>
      </c>
      <c r="AY11" s="47">
        <v>99789</v>
      </c>
      <c r="AZ11" s="47">
        <v>107053</v>
      </c>
      <c r="BA11" s="47">
        <v>109888</v>
      </c>
      <c r="BB11" s="47">
        <v>113114</v>
      </c>
      <c r="BC11" s="47">
        <v>114774</v>
      </c>
      <c r="BD11" s="47">
        <v>110869</v>
      </c>
      <c r="BE11" s="47">
        <v>112846</v>
      </c>
      <c r="BF11" s="47">
        <v>118351</v>
      </c>
      <c r="BG11" s="47">
        <v>127777</v>
      </c>
      <c r="BH11" s="47">
        <v>129323</v>
      </c>
      <c r="BI11" s="47">
        <v>130919</v>
      </c>
      <c r="BJ11" s="47">
        <v>135385</v>
      </c>
      <c r="BK11" s="47">
        <v>140739</v>
      </c>
      <c r="BL11" s="47">
        <v>144167</v>
      </c>
      <c r="BM11" s="47">
        <v>147435</v>
      </c>
      <c r="BN11" s="47">
        <v>153004</v>
      </c>
      <c r="BO11" s="47">
        <v>158324</v>
      </c>
      <c r="BP11" s="47">
        <v>160495</v>
      </c>
      <c r="BQ11" s="47">
        <v>161830</v>
      </c>
      <c r="BR11" s="47">
        <v>162672</v>
      </c>
      <c r="BS11" s="47">
        <v>167808</v>
      </c>
      <c r="BT11" s="47">
        <v>172287</v>
      </c>
      <c r="BU11" s="47">
        <v>177395</v>
      </c>
      <c r="BV11" s="47">
        <v>181367</v>
      </c>
      <c r="BW11" s="47">
        <v>186316</v>
      </c>
      <c r="BX11" s="47">
        <v>187034</v>
      </c>
      <c r="BY11" s="47">
        <v>192344</v>
      </c>
      <c r="BZ11" s="47">
        <v>200479.94624700001</v>
      </c>
    </row>
    <row r="12" spans="1:78" s="52" customFormat="1" hidden="1" x14ac:dyDescent="0.3">
      <c r="A12" s="53" t="s">
        <v>46</v>
      </c>
      <c r="B12" s="14">
        <v>0</v>
      </c>
      <c r="C12" s="14">
        <v>0</v>
      </c>
      <c r="D12" s="14">
        <v>0</v>
      </c>
      <c r="E12" s="14">
        <v>0</v>
      </c>
      <c r="F12" s="14">
        <v>0</v>
      </c>
      <c r="G12" s="14">
        <v>0</v>
      </c>
      <c r="H12" s="14">
        <v>0</v>
      </c>
      <c r="I12" s="14">
        <v>0</v>
      </c>
      <c r="J12" s="14">
        <v>0</v>
      </c>
      <c r="K12" s="14">
        <v>0</v>
      </c>
      <c r="L12" s="14">
        <v>0</v>
      </c>
      <c r="M12" s="14">
        <v>0</v>
      </c>
      <c r="N12" s="14">
        <v>0</v>
      </c>
      <c r="O12" s="14">
        <v>0</v>
      </c>
      <c r="P12" s="14">
        <v>0</v>
      </c>
      <c r="Q12" s="14">
        <v>0</v>
      </c>
      <c r="R12" s="14">
        <v>0</v>
      </c>
      <c r="S12" s="14">
        <v>0</v>
      </c>
      <c r="T12" s="14">
        <v>0</v>
      </c>
      <c r="U12" s="14">
        <v>0</v>
      </c>
      <c r="V12" s="14">
        <v>0</v>
      </c>
      <c r="W12" s="14">
        <v>0</v>
      </c>
      <c r="X12" s="14">
        <v>0</v>
      </c>
      <c r="Y12" s="14">
        <v>0</v>
      </c>
      <c r="Z12" s="14">
        <v>0</v>
      </c>
      <c r="AA12" s="14">
        <v>0</v>
      </c>
      <c r="AB12" s="14">
        <v>0</v>
      </c>
      <c r="AC12" s="14">
        <v>0</v>
      </c>
      <c r="AD12" s="14">
        <v>0</v>
      </c>
      <c r="AE12" s="14">
        <v>0</v>
      </c>
      <c r="AF12" s="14">
        <v>3502</v>
      </c>
      <c r="AG12" s="14">
        <v>5422</v>
      </c>
      <c r="AH12" s="14">
        <v>4678</v>
      </c>
      <c r="AI12" s="14">
        <v>3577</v>
      </c>
      <c r="AJ12" s="14">
        <v>3243</v>
      </c>
      <c r="AK12" s="14">
        <v>5967</v>
      </c>
      <c r="AL12" s="14">
        <v>10408</v>
      </c>
      <c r="AM12" s="14">
        <v>12806</v>
      </c>
      <c r="AN12" s="14">
        <v>14797</v>
      </c>
      <c r="AO12" s="14">
        <v>10172</v>
      </c>
      <c r="AP12" s="14">
        <v>15947</v>
      </c>
      <c r="AQ12" s="14">
        <v>14436</v>
      </c>
      <c r="AR12" s="14">
        <v>6366</v>
      </c>
      <c r="AS12" s="14">
        <v>3727</v>
      </c>
      <c r="AT12" s="14">
        <v>1021</v>
      </c>
      <c r="AU12" s="14">
        <v>894</v>
      </c>
      <c r="AV12" s="14">
        <v>894</v>
      </c>
      <c r="AW12" s="14">
        <v>894</v>
      </c>
      <c r="AX12" s="14">
        <v>893</v>
      </c>
      <c r="AY12" s="14">
        <v>893</v>
      </c>
      <c r="AZ12" s="14">
        <v>269</v>
      </c>
      <c r="BA12" s="14">
        <v>114</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row>
    <row r="13" spans="1:78" ht="15.75" customHeight="1" x14ac:dyDescent="0.3">
      <c r="A13" s="38" t="s">
        <v>45</v>
      </c>
      <c r="B13" s="45">
        <v>0.56213644022039644</v>
      </c>
      <c r="C13" s="45">
        <v>0.4960990072428666</v>
      </c>
      <c r="D13" s="45">
        <v>0.52119452598860305</v>
      </c>
      <c r="E13" s="45">
        <v>0.51011980651879829</v>
      </c>
      <c r="F13" s="45">
        <v>0.45608592185945784</v>
      </c>
      <c r="G13" s="45">
        <v>0.4046147101945789</v>
      </c>
      <c r="H13" s="45">
        <v>0.39719015152059428</v>
      </c>
      <c r="I13" s="45">
        <v>0.37904127998198794</v>
      </c>
      <c r="J13" s="45">
        <v>0.39344664278252578</v>
      </c>
      <c r="K13" s="45">
        <v>0.40871581222654141</v>
      </c>
      <c r="L13" s="45">
        <v>0.41054842797868091</v>
      </c>
      <c r="M13" s="45">
        <v>0.43064752738589779</v>
      </c>
      <c r="N13" s="45">
        <v>0.41721034641781735</v>
      </c>
      <c r="O13" s="45">
        <v>0.42423754187393847</v>
      </c>
      <c r="P13" s="45">
        <v>0.42173058729350121</v>
      </c>
      <c r="Q13" s="45">
        <v>0.41745384877660696</v>
      </c>
      <c r="R13" s="45">
        <v>0.40731732165142753</v>
      </c>
      <c r="S13" s="45">
        <v>0.40451311520878064</v>
      </c>
      <c r="T13" s="45">
        <v>0.40000490254656651</v>
      </c>
      <c r="U13" s="45">
        <v>0.41500149706484557</v>
      </c>
      <c r="V13" s="45">
        <v>0.41359104817795966</v>
      </c>
      <c r="W13" s="45">
        <v>0.41191556345563723</v>
      </c>
      <c r="X13" s="45">
        <v>0.40669882895536535</v>
      </c>
      <c r="Y13" s="45">
        <v>0.40156397942072303</v>
      </c>
      <c r="Z13" s="45">
        <v>0.40118875321427067</v>
      </c>
      <c r="AA13" s="45">
        <v>0.39817248994094628</v>
      </c>
      <c r="AB13" s="45">
        <v>0.40342675308470438</v>
      </c>
      <c r="AC13" s="45">
        <v>0.39281326700876729</v>
      </c>
      <c r="AD13" s="45">
        <v>0.39683273938582642</v>
      </c>
      <c r="AE13" s="45">
        <v>0.39842282662768153</v>
      </c>
      <c r="AF13" s="45">
        <v>0.40760007899822259</v>
      </c>
      <c r="AG13" s="45">
        <v>0.40797008441526383</v>
      </c>
      <c r="AH13" s="45">
        <v>0.4104148933583015</v>
      </c>
      <c r="AI13" s="45">
        <v>0.41324336473580336</v>
      </c>
      <c r="AJ13" s="45">
        <v>0.42129104785576388</v>
      </c>
      <c r="AK13" s="45">
        <v>0.42603906962780891</v>
      </c>
      <c r="AL13" s="45">
        <v>0.43870134550696782</v>
      </c>
      <c r="AM13" s="45">
        <v>0.45008510289713927</v>
      </c>
      <c r="AN13" s="45">
        <v>0.45233321671734977</v>
      </c>
      <c r="AO13" s="45">
        <v>0.45493039750172021</v>
      </c>
      <c r="AP13" s="45">
        <v>0.47490318055682618</v>
      </c>
      <c r="AQ13" s="45">
        <v>0.47019178587592797</v>
      </c>
      <c r="AR13" s="45">
        <v>0.46004292200102115</v>
      </c>
      <c r="AS13" s="45">
        <v>0.45211045397820471</v>
      </c>
      <c r="AT13" s="45">
        <v>0.45234549362420123</v>
      </c>
      <c r="AU13" s="45">
        <v>0.45805108729390714</v>
      </c>
      <c r="AV13" s="45">
        <v>0.46965592034704101</v>
      </c>
      <c r="AW13" s="45">
        <v>0.46724523469438012</v>
      </c>
      <c r="AX13" s="45">
        <v>0.48075121768452606</v>
      </c>
      <c r="AY13" s="45">
        <v>0.48393998046977377</v>
      </c>
      <c r="AZ13" s="45">
        <v>0.4941658964879852</v>
      </c>
      <c r="BA13" s="45">
        <v>0.49708383540127582</v>
      </c>
      <c r="BB13" s="45">
        <v>0.50881342645244376</v>
      </c>
      <c r="BC13" s="45">
        <v>0.63761447734305854</v>
      </c>
      <c r="BD13" s="45">
        <v>0.61075925515168095</v>
      </c>
      <c r="BE13" s="45">
        <v>0.60369025096079687</v>
      </c>
      <c r="BF13" s="45">
        <v>0.64810384070828175</v>
      </c>
      <c r="BG13" s="45">
        <v>0.6934904356365823</v>
      </c>
      <c r="BH13" s="45">
        <v>0.69403338652003854</v>
      </c>
      <c r="BI13" s="45">
        <v>0.65183635057827083</v>
      </c>
      <c r="BJ13" s="45">
        <v>0.64710046958872991</v>
      </c>
      <c r="BK13" s="45">
        <v>0.64320602724289422</v>
      </c>
      <c r="BL13" s="45">
        <v>0.63815005228939803</v>
      </c>
      <c r="BM13" s="45">
        <v>0.60553949836239962</v>
      </c>
      <c r="BN13" s="45">
        <v>0.59942694871446067</v>
      </c>
      <c r="BO13" s="45">
        <v>0.60236206819679283</v>
      </c>
      <c r="BP13" s="45">
        <v>0.60040872220277719</v>
      </c>
      <c r="BQ13" s="45">
        <v>0.59972527903800565</v>
      </c>
      <c r="BR13" s="45">
        <v>0.60315781869823359</v>
      </c>
      <c r="BS13" s="45">
        <v>0.61118072970651371</v>
      </c>
      <c r="BT13" s="45">
        <v>0.62539189334321987</v>
      </c>
      <c r="BU13" s="45">
        <v>0.63635852281331806</v>
      </c>
      <c r="BV13" s="45">
        <v>0.65775644608893291</v>
      </c>
      <c r="BW13" s="45">
        <v>0.65998279057637621</v>
      </c>
      <c r="BX13" s="45">
        <v>0.677709074342423</v>
      </c>
      <c r="BY13" s="45">
        <v>0.67270354274027533</v>
      </c>
      <c r="BZ13" s="45">
        <v>0.67719642383664713</v>
      </c>
    </row>
    <row r="14" spans="1:78" ht="15" customHeight="1" x14ac:dyDescent="0.3">
      <c r="A14" s="24" t="s">
        <v>44</v>
      </c>
      <c r="B14" s="14">
        <v>9707.7000000000007</v>
      </c>
      <c r="C14" s="14">
        <v>9092.5</v>
      </c>
      <c r="D14" s="14">
        <v>9906.2000000000007</v>
      </c>
      <c r="E14" s="14">
        <v>9255.4</v>
      </c>
      <c r="F14" s="14">
        <v>14206.8</v>
      </c>
      <c r="G14" s="14">
        <v>13152</v>
      </c>
      <c r="H14" s="14">
        <v>12761.599999999999</v>
      </c>
      <c r="I14" s="14">
        <v>13483.300000000001</v>
      </c>
      <c r="J14" s="14">
        <v>14079</v>
      </c>
      <c r="K14" s="14">
        <v>18487</v>
      </c>
      <c r="L14" s="14">
        <v>22261</v>
      </c>
      <c r="M14" s="14">
        <v>21617</v>
      </c>
      <c r="N14" s="14">
        <v>21016.3</v>
      </c>
      <c r="O14" s="14">
        <v>21417.3</v>
      </c>
      <c r="P14" s="14">
        <v>24323</v>
      </c>
      <c r="Q14" s="14">
        <v>26791</v>
      </c>
      <c r="R14" s="14">
        <v>29336</v>
      </c>
      <c r="S14" s="14">
        <v>29755</v>
      </c>
      <c r="T14" s="14">
        <v>30935</v>
      </c>
      <c r="U14" s="14">
        <v>31351</v>
      </c>
      <c r="V14" s="14">
        <v>31304</v>
      </c>
      <c r="W14" s="14">
        <v>34284</v>
      </c>
      <c r="X14" s="14">
        <v>35282</v>
      </c>
      <c r="Y14" s="14">
        <v>35947</v>
      </c>
      <c r="Z14" s="14">
        <v>37359</v>
      </c>
      <c r="AA14" s="14">
        <v>42530</v>
      </c>
      <c r="AB14" s="14">
        <v>45633</v>
      </c>
      <c r="AC14" s="14">
        <v>47162</v>
      </c>
      <c r="AD14" s="14">
        <v>48764</v>
      </c>
      <c r="AE14" s="14">
        <v>51456</v>
      </c>
      <c r="AF14" s="14">
        <v>51301</v>
      </c>
      <c r="AG14" s="14">
        <v>51429</v>
      </c>
      <c r="AH14" s="14">
        <v>56004</v>
      </c>
      <c r="AI14" s="14">
        <v>54711.282204401403</v>
      </c>
      <c r="AJ14" s="14">
        <v>54552</v>
      </c>
      <c r="AK14" s="14">
        <v>54676</v>
      </c>
      <c r="AL14" s="14">
        <v>54023.883423671003</v>
      </c>
      <c r="AM14" s="14">
        <v>53463.646230258397</v>
      </c>
      <c r="AN14" s="14">
        <v>53104</v>
      </c>
      <c r="AO14" s="14">
        <v>51637</v>
      </c>
      <c r="AP14" s="14">
        <v>46103</v>
      </c>
      <c r="AQ14" s="14">
        <v>46231</v>
      </c>
      <c r="AR14" s="14">
        <v>45015.199999999997</v>
      </c>
      <c r="AS14" s="14">
        <v>45128</v>
      </c>
      <c r="AT14" s="14">
        <v>44543.700000000004</v>
      </c>
      <c r="AU14" s="14">
        <v>44538</v>
      </c>
      <c r="AV14" s="14">
        <v>42078.000000000007</v>
      </c>
      <c r="AW14" s="14">
        <v>41413.950000000004</v>
      </c>
      <c r="AX14" s="14">
        <v>40255.600000000006</v>
      </c>
      <c r="AY14" s="14">
        <v>40257.500000000007</v>
      </c>
      <c r="AZ14" s="14">
        <v>39203</v>
      </c>
      <c r="BA14" s="14">
        <v>39592.250000000007</v>
      </c>
      <c r="BB14" s="14">
        <v>33621.800000000003</v>
      </c>
      <c r="BC14" s="14">
        <v>43688.2</v>
      </c>
      <c r="BD14" s="14">
        <v>58955.95</v>
      </c>
      <c r="BE14" s="14">
        <v>59786.6</v>
      </c>
      <c r="BF14" s="14">
        <v>70092.600000000006</v>
      </c>
      <c r="BG14" s="14">
        <v>71940.299999999988</v>
      </c>
      <c r="BH14" s="14">
        <v>77635.55</v>
      </c>
      <c r="BI14" s="14">
        <v>77013.95</v>
      </c>
      <c r="BJ14" s="14">
        <v>76262.850000000006</v>
      </c>
      <c r="BK14" s="14">
        <v>73172.350000000006</v>
      </c>
      <c r="BL14" s="14">
        <v>67395.600000000006</v>
      </c>
      <c r="BM14" s="14">
        <v>81788.45</v>
      </c>
      <c r="BN14" s="14">
        <v>85842.900000000009</v>
      </c>
      <c r="BO14" s="14">
        <v>83873.650000000009</v>
      </c>
      <c r="BP14" s="14">
        <v>79517.750000000015</v>
      </c>
      <c r="BQ14" s="14">
        <v>83946.550000000017</v>
      </c>
      <c r="BR14" s="14">
        <v>85550.200000000012</v>
      </c>
      <c r="BS14" s="14">
        <v>85460</v>
      </c>
      <c r="BT14" s="14">
        <v>97020</v>
      </c>
      <c r="BU14" s="14">
        <v>96733</v>
      </c>
      <c r="BV14" s="14">
        <v>94550</v>
      </c>
      <c r="BW14" s="14">
        <v>97128</v>
      </c>
      <c r="BX14" s="14">
        <v>96993</v>
      </c>
      <c r="BY14" s="14">
        <v>98826</v>
      </c>
      <c r="BZ14" s="14">
        <v>98801</v>
      </c>
    </row>
    <row r="15" spans="1:78" ht="15.5" x14ac:dyDescent="0.3">
      <c r="A15" s="48" t="s">
        <v>43</v>
      </c>
      <c r="B15" s="47">
        <v>524</v>
      </c>
      <c r="C15" s="47">
        <v>124.5</v>
      </c>
      <c r="D15" s="47">
        <v>350.1</v>
      </c>
      <c r="E15" s="47">
        <v>6.9</v>
      </c>
      <c r="F15" s="47">
        <v>2182.1</v>
      </c>
      <c r="G15" s="47">
        <v>609.6</v>
      </c>
      <c r="H15" s="47">
        <v>194.79999999999998</v>
      </c>
      <c r="I15" s="47">
        <v>0</v>
      </c>
      <c r="J15" s="47">
        <v>54</v>
      </c>
      <c r="K15" s="47">
        <v>32</v>
      </c>
      <c r="L15" s="47">
        <v>540</v>
      </c>
      <c r="M15" s="47">
        <v>237</v>
      </c>
      <c r="N15" s="47">
        <v>29.3</v>
      </c>
      <c r="O15" s="47">
        <v>29.3</v>
      </c>
      <c r="P15" s="47">
        <v>51</v>
      </c>
      <c r="Q15" s="47">
        <v>106</v>
      </c>
      <c r="R15" s="47">
        <v>82</v>
      </c>
      <c r="S15" s="47">
        <v>15</v>
      </c>
      <c r="T15" s="48">
        <v>65</v>
      </c>
      <c r="U15" s="48">
        <v>273</v>
      </c>
      <c r="V15" s="48">
        <v>331</v>
      </c>
      <c r="W15" s="48">
        <v>820</v>
      </c>
      <c r="X15" s="48">
        <v>387</v>
      </c>
      <c r="Y15" s="47">
        <v>216</v>
      </c>
      <c r="Z15" s="47">
        <v>36</v>
      </c>
      <c r="AA15" s="47">
        <v>132</v>
      </c>
      <c r="AB15" s="47">
        <v>184</v>
      </c>
      <c r="AC15" s="47">
        <v>400</v>
      </c>
      <c r="AD15" s="47">
        <v>438</v>
      </c>
      <c r="AE15" s="47">
        <v>392</v>
      </c>
      <c r="AF15" s="47">
        <v>329</v>
      </c>
      <c r="AG15" s="47">
        <v>207</v>
      </c>
      <c r="AH15" s="47">
        <v>53</v>
      </c>
      <c r="AI15" s="47">
        <v>16</v>
      </c>
      <c r="AJ15" s="47">
        <v>20</v>
      </c>
      <c r="AK15" s="47">
        <v>131</v>
      </c>
      <c r="AL15" s="47">
        <v>131</v>
      </c>
      <c r="AM15" s="47">
        <v>128</v>
      </c>
      <c r="AN15" s="47">
        <v>135</v>
      </c>
      <c r="AO15" s="47">
        <v>32</v>
      </c>
      <c r="AP15" s="47">
        <v>39</v>
      </c>
      <c r="AQ15" s="47">
        <v>39</v>
      </c>
      <c r="AR15" s="47">
        <v>36</v>
      </c>
      <c r="AS15" s="47">
        <v>28</v>
      </c>
      <c r="AT15" s="47">
        <v>29</v>
      </c>
      <c r="AU15" s="47">
        <v>14</v>
      </c>
      <c r="AV15" s="47">
        <v>12</v>
      </c>
      <c r="AW15" s="47">
        <v>17</v>
      </c>
      <c r="AX15" s="47">
        <v>12</v>
      </c>
      <c r="AY15" s="47">
        <v>10.3</v>
      </c>
      <c r="AZ15" s="47">
        <v>13.4</v>
      </c>
      <c r="BA15" s="47">
        <v>36</v>
      </c>
      <c r="BB15" s="47">
        <v>20.65</v>
      </c>
      <c r="BC15" s="47">
        <v>33.950000000000003</v>
      </c>
      <c r="BD15" s="47">
        <v>31.95</v>
      </c>
      <c r="BE15" s="47">
        <v>24.6</v>
      </c>
      <c r="BF15" s="47">
        <v>24.6</v>
      </c>
      <c r="BG15" s="47">
        <v>21.7</v>
      </c>
      <c r="BH15" s="47">
        <v>21.65</v>
      </c>
      <c r="BI15" s="47">
        <v>31.45</v>
      </c>
      <c r="BJ15" s="47">
        <v>27.45</v>
      </c>
      <c r="BK15" s="47">
        <v>43.35</v>
      </c>
      <c r="BL15" s="47">
        <v>44.6</v>
      </c>
      <c r="BM15" s="47">
        <v>38.450000000000003</v>
      </c>
      <c r="BN15" s="47">
        <v>61</v>
      </c>
      <c r="BO15" s="47">
        <v>77</v>
      </c>
      <c r="BP15" s="47">
        <v>35.35</v>
      </c>
      <c r="BQ15" s="47">
        <v>45.6</v>
      </c>
      <c r="BR15" s="47">
        <v>40.299999999999997</v>
      </c>
      <c r="BS15" s="47">
        <v>37</v>
      </c>
      <c r="BT15" s="47">
        <v>63</v>
      </c>
      <c r="BU15" s="47">
        <v>35</v>
      </c>
      <c r="BV15" s="47">
        <v>85</v>
      </c>
      <c r="BW15" s="47">
        <v>139</v>
      </c>
      <c r="BX15" s="47">
        <v>156</v>
      </c>
      <c r="BY15" s="47">
        <v>266</v>
      </c>
      <c r="BZ15" s="47">
        <v>1087</v>
      </c>
    </row>
    <row r="16" spans="1:78" s="49" customFormat="1" ht="15.5" x14ac:dyDescent="0.3">
      <c r="A16" s="48" t="s">
        <v>42</v>
      </c>
      <c r="B16" s="51">
        <v>8549.7000000000007</v>
      </c>
      <c r="C16" s="51">
        <v>8320</v>
      </c>
      <c r="D16" s="51">
        <v>8882.1</v>
      </c>
      <c r="E16" s="51">
        <v>8528.5</v>
      </c>
      <c r="F16" s="51">
        <v>11269.699999999999</v>
      </c>
      <c r="G16" s="51">
        <v>11841.4</v>
      </c>
      <c r="H16" s="51">
        <v>11880.8</v>
      </c>
      <c r="I16" s="51">
        <v>12713.300000000001</v>
      </c>
      <c r="J16" s="51">
        <v>13245</v>
      </c>
      <c r="K16" s="51">
        <v>17669</v>
      </c>
      <c r="L16" s="51">
        <v>17038</v>
      </c>
      <c r="M16" s="51">
        <v>16783</v>
      </c>
      <c r="N16" s="51">
        <v>16460</v>
      </c>
      <c r="O16" s="51">
        <v>16824</v>
      </c>
      <c r="P16" s="51">
        <v>19736</v>
      </c>
      <c r="Q16" s="51">
        <v>22181</v>
      </c>
      <c r="R16" s="51">
        <v>24898</v>
      </c>
      <c r="S16" s="51">
        <v>25329</v>
      </c>
      <c r="T16" s="51">
        <v>26482</v>
      </c>
      <c r="U16" s="51">
        <v>26719</v>
      </c>
      <c r="V16" s="51">
        <v>26642</v>
      </c>
      <c r="W16" s="51">
        <v>28913</v>
      </c>
      <c r="X16" s="50">
        <v>30350</v>
      </c>
      <c r="Y16" s="47">
        <v>31188</v>
      </c>
      <c r="Z16" s="47">
        <v>32801</v>
      </c>
      <c r="AA16" s="47">
        <v>37883</v>
      </c>
      <c r="AB16" s="47">
        <v>40924</v>
      </c>
      <c r="AC16" s="47">
        <v>42269</v>
      </c>
      <c r="AD16" s="47">
        <v>43829</v>
      </c>
      <c r="AE16" s="47">
        <v>46539</v>
      </c>
      <c r="AF16" s="47">
        <v>46475</v>
      </c>
      <c r="AG16" s="47">
        <v>46773</v>
      </c>
      <c r="AH16" s="47">
        <v>51075</v>
      </c>
      <c r="AI16" s="47">
        <v>49920</v>
      </c>
      <c r="AJ16" s="47">
        <v>49701</v>
      </c>
      <c r="AK16" s="47">
        <v>49727</v>
      </c>
      <c r="AL16" s="47">
        <v>49074</v>
      </c>
      <c r="AM16" s="46">
        <v>48532</v>
      </c>
      <c r="AN16" s="46">
        <v>48176</v>
      </c>
      <c r="AO16" s="46">
        <v>46933</v>
      </c>
      <c r="AP16" s="46">
        <v>41417</v>
      </c>
      <c r="AQ16" s="46">
        <v>41552</v>
      </c>
      <c r="AR16" s="46">
        <v>40356.199999999997</v>
      </c>
      <c r="AS16" s="46">
        <v>40495</v>
      </c>
      <c r="AT16" s="46">
        <v>39837.700000000004</v>
      </c>
      <c r="AU16" s="46">
        <v>39823</v>
      </c>
      <c r="AV16" s="46">
        <v>37422.000000000007</v>
      </c>
      <c r="AW16" s="46">
        <v>36785.950000000004</v>
      </c>
      <c r="AX16" s="46">
        <v>35572.600000000006</v>
      </c>
      <c r="AY16" s="46">
        <v>35485.200000000004</v>
      </c>
      <c r="AZ16" s="46">
        <v>34375.599999999999</v>
      </c>
      <c r="BA16" s="46">
        <v>34656.850000000006</v>
      </c>
      <c r="BB16" s="46">
        <v>28373.75</v>
      </c>
      <c r="BC16" s="46">
        <v>38279.25</v>
      </c>
      <c r="BD16" s="46">
        <v>53467</v>
      </c>
      <c r="BE16" s="46">
        <v>54251</v>
      </c>
      <c r="BF16" s="46">
        <v>64490</v>
      </c>
      <c r="BG16" s="46">
        <v>66030.2</v>
      </c>
      <c r="BH16" s="46">
        <v>63522.1</v>
      </c>
      <c r="BI16" s="46">
        <v>62781.5</v>
      </c>
      <c r="BJ16" s="46">
        <v>61892</v>
      </c>
      <c r="BK16" s="46">
        <v>59056</v>
      </c>
      <c r="BL16" s="46">
        <v>54009</v>
      </c>
      <c r="BM16" s="46">
        <v>68133</v>
      </c>
      <c r="BN16" s="46">
        <v>71327.900000000009</v>
      </c>
      <c r="BO16" s="46">
        <v>69522.650000000009</v>
      </c>
      <c r="BP16" s="46">
        <v>65834.600000000006</v>
      </c>
      <c r="BQ16" s="46">
        <v>70045.950000000012</v>
      </c>
      <c r="BR16" s="46">
        <v>71110.900000000009</v>
      </c>
      <c r="BS16" s="46">
        <v>70844</v>
      </c>
      <c r="BT16" s="46">
        <v>82401</v>
      </c>
      <c r="BU16" s="46">
        <v>82318</v>
      </c>
      <c r="BV16" s="46">
        <v>80324</v>
      </c>
      <c r="BW16" s="46">
        <v>82487</v>
      </c>
      <c r="BX16" s="983">
        <v>82207</v>
      </c>
      <c r="BY16" s="46">
        <v>83714</v>
      </c>
      <c r="BZ16" s="47">
        <v>82773</v>
      </c>
    </row>
    <row r="17" spans="1:78" ht="15" customHeight="1" x14ac:dyDescent="0.3">
      <c r="A17" s="48" t="s">
        <v>41</v>
      </c>
      <c r="B17" s="47">
        <v>634</v>
      </c>
      <c r="C17" s="47">
        <v>648</v>
      </c>
      <c r="D17" s="47">
        <v>674</v>
      </c>
      <c r="E17" s="47">
        <v>720</v>
      </c>
      <c r="F17" s="47">
        <v>755</v>
      </c>
      <c r="G17" s="47">
        <v>701</v>
      </c>
      <c r="H17" s="47">
        <v>686</v>
      </c>
      <c r="I17" s="47">
        <v>770</v>
      </c>
      <c r="J17" s="47">
        <v>780</v>
      </c>
      <c r="K17" s="47">
        <v>786</v>
      </c>
      <c r="L17" s="47">
        <v>4683</v>
      </c>
      <c r="M17" s="47">
        <v>4597</v>
      </c>
      <c r="N17" s="47">
        <v>4527</v>
      </c>
      <c r="O17" s="47">
        <v>4564</v>
      </c>
      <c r="P17" s="47">
        <v>4536</v>
      </c>
      <c r="Q17" s="47">
        <v>4504</v>
      </c>
      <c r="R17" s="47">
        <v>4356</v>
      </c>
      <c r="S17" s="47">
        <v>4411</v>
      </c>
      <c r="T17" s="47">
        <v>4388</v>
      </c>
      <c r="U17" s="47">
        <v>4359</v>
      </c>
      <c r="V17" s="47">
        <v>4331</v>
      </c>
      <c r="W17" s="47">
        <v>4551</v>
      </c>
      <c r="X17" s="47">
        <v>4545</v>
      </c>
      <c r="Y17" s="47">
        <v>4543</v>
      </c>
      <c r="Z17" s="47">
        <v>4522</v>
      </c>
      <c r="AA17" s="47">
        <v>4515</v>
      </c>
      <c r="AB17" s="47">
        <v>4525</v>
      </c>
      <c r="AC17" s="47">
        <v>4493</v>
      </c>
      <c r="AD17" s="47">
        <v>4497</v>
      </c>
      <c r="AE17" s="47">
        <v>4525</v>
      </c>
      <c r="AF17" s="47">
        <v>4497</v>
      </c>
      <c r="AG17" s="47">
        <v>4449</v>
      </c>
      <c r="AH17" s="47">
        <v>4876</v>
      </c>
      <c r="AI17" s="47">
        <v>4775.2822044014001</v>
      </c>
      <c r="AJ17" s="47">
        <v>4831</v>
      </c>
      <c r="AK17" s="47">
        <v>4818</v>
      </c>
      <c r="AL17" s="47">
        <v>4818.8834236710009</v>
      </c>
      <c r="AM17" s="47">
        <v>4803.6462302583996</v>
      </c>
      <c r="AN17" s="47">
        <v>4793</v>
      </c>
      <c r="AO17" s="47">
        <v>4672</v>
      </c>
      <c r="AP17" s="47">
        <v>4647</v>
      </c>
      <c r="AQ17" s="47">
        <v>4640</v>
      </c>
      <c r="AR17" s="47">
        <v>4623</v>
      </c>
      <c r="AS17" s="47">
        <v>4605</v>
      </c>
      <c r="AT17" s="47">
        <v>4677</v>
      </c>
      <c r="AU17" s="47">
        <v>4701</v>
      </c>
      <c r="AV17" s="47">
        <v>4644</v>
      </c>
      <c r="AW17" s="47">
        <v>4611</v>
      </c>
      <c r="AX17" s="47">
        <v>4671</v>
      </c>
      <c r="AY17" s="47">
        <v>4762</v>
      </c>
      <c r="AZ17" s="47">
        <v>4814</v>
      </c>
      <c r="BA17" s="47">
        <v>4899.3999999999996</v>
      </c>
      <c r="BB17" s="47">
        <v>5227.3999999999996</v>
      </c>
      <c r="BC17" s="47">
        <v>5375</v>
      </c>
      <c r="BD17" s="47">
        <v>5457</v>
      </c>
      <c r="BE17" s="47">
        <v>5511</v>
      </c>
      <c r="BF17" s="47">
        <v>5578</v>
      </c>
      <c r="BG17" s="47">
        <v>5888.4</v>
      </c>
      <c r="BH17" s="47">
        <v>14091.8</v>
      </c>
      <c r="BI17" s="47">
        <v>14201</v>
      </c>
      <c r="BJ17" s="47">
        <v>14343.400000000001</v>
      </c>
      <c r="BK17" s="46">
        <v>14073</v>
      </c>
      <c r="BL17" s="46">
        <v>13342</v>
      </c>
      <c r="BM17" s="46">
        <v>13617</v>
      </c>
      <c r="BN17" s="46">
        <v>14454</v>
      </c>
      <c r="BO17" s="46">
        <v>14274</v>
      </c>
      <c r="BP17" s="46">
        <v>13647.8</v>
      </c>
      <c r="BQ17" s="46">
        <v>13855</v>
      </c>
      <c r="BR17" s="46">
        <v>14399</v>
      </c>
      <c r="BS17" s="46">
        <v>14579</v>
      </c>
      <c r="BT17" s="46">
        <v>14556</v>
      </c>
      <c r="BU17" s="46">
        <v>14380</v>
      </c>
      <c r="BV17" s="46">
        <v>14141</v>
      </c>
      <c r="BW17" s="46">
        <v>14502</v>
      </c>
      <c r="BX17" s="46">
        <v>14630</v>
      </c>
      <c r="BY17" s="46">
        <v>14846</v>
      </c>
      <c r="BZ17" s="47">
        <v>14941</v>
      </c>
    </row>
    <row r="18" spans="1:78" ht="18" customHeight="1" x14ac:dyDescent="0.3">
      <c r="A18" s="38" t="s">
        <v>30</v>
      </c>
      <c r="B18" s="45">
        <v>6.3150602056946586E-2</v>
      </c>
      <c r="C18" s="45">
        <v>5.3066691568276127E-2</v>
      </c>
      <c r="D18" s="45">
        <v>5.3456872733552069E-2</v>
      </c>
      <c r="E18" s="45">
        <v>4.5038881156994226E-2</v>
      </c>
      <c r="F18" s="45">
        <v>5.9626547134888755E-2</v>
      </c>
      <c r="G18" s="45">
        <v>4.8449483898061578E-2</v>
      </c>
      <c r="H18" s="45">
        <v>4.5842703087169243E-2</v>
      </c>
      <c r="I18" s="45">
        <v>4.7433985097835037E-2</v>
      </c>
      <c r="J18" s="45">
        <v>4.9353936326095645E-2</v>
      </c>
      <c r="K18" s="45">
        <v>6.4451688252828279E-2</v>
      </c>
      <c r="L18" s="45">
        <v>7.7293796982691274E-2</v>
      </c>
      <c r="M18" s="45">
        <v>7.4092735025158007E-2</v>
      </c>
      <c r="N18" s="45">
        <v>7.1264886200254993E-2</v>
      </c>
      <c r="O18" s="45">
        <v>7.1889916017159078E-2</v>
      </c>
      <c r="P18" s="45">
        <v>8.045927582351424E-2</v>
      </c>
      <c r="Q18" s="45">
        <v>8.6996476757967886E-2</v>
      </c>
      <c r="R18" s="45">
        <v>9.3395817945648579E-2</v>
      </c>
      <c r="S18" s="45">
        <v>9.2727346386734272E-2</v>
      </c>
      <c r="T18" s="45">
        <v>9.4787673772295092E-2</v>
      </c>
      <c r="U18" s="45">
        <v>9.4817131260831036E-2</v>
      </c>
      <c r="V18" s="45">
        <v>9.3634000652064023E-2</v>
      </c>
      <c r="W18" s="45">
        <v>0.10106208933577411</v>
      </c>
      <c r="X18" s="45">
        <v>0.10259944573849675</v>
      </c>
      <c r="Y18" s="45">
        <v>0.10251708285326427</v>
      </c>
      <c r="Z18" s="45">
        <v>0.1049896721795214</v>
      </c>
      <c r="AA18" s="45">
        <v>0.11769231194965769</v>
      </c>
      <c r="AB18" s="45">
        <v>0.1243226455035104</v>
      </c>
      <c r="AC18" s="45">
        <v>0.12353867230373089</v>
      </c>
      <c r="AD18" s="45">
        <v>0.12601851875780121</v>
      </c>
      <c r="AE18" s="45">
        <v>0.13060031066305242</v>
      </c>
      <c r="AF18" s="45">
        <v>0.12824961438367638</v>
      </c>
      <c r="AG18" s="45">
        <v>0.12694130424050945</v>
      </c>
      <c r="AH18" s="45">
        <v>0.13619981030667089</v>
      </c>
      <c r="AI18" s="45">
        <v>0.13151845374942944</v>
      </c>
      <c r="AJ18" s="45">
        <v>0.12937990048429709</v>
      </c>
      <c r="AK18" s="45">
        <v>0.12823694141432146</v>
      </c>
      <c r="AL18" s="45">
        <v>0.12481028773072997</v>
      </c>
      <c r="AM18" s="45">
        <v>0.12165537930010467</v>
      </c>
      <c r="AN18" s="45">
        <v>0.11909183060182818</v>
      </c>
      <c r="AO18" s="45">
        <v>0.11388036133312161</v>
      </c>
      <c r="AP18" s="45">
        <v>0.10041995025070681</v>
      </c>
      <c r="AQ18" s="45">
        <v>9.9166232300937157E-2</v>
      </c>
      <c r="AR18" s="45">
        <v>9.5367347500842123E-2</v>
      </c>
      <c r="AS18" s="45">
        <v>9.4176374101079749E-2</v>
      </c>
      <c r="AT18" s="45">
        <v>9.1880190263241499E-2</v>
      </c>
      <c r="AU18" s="45">
        <v>9.0355249624179124E-2</v>
      </c>
      <c r="AV18" s="45">
        <v>8.4195066510861061E-2</v>
      </c>
      <c r="AW18" s="45">
        <v>8.1591784465349954E-2</v>
      </c>
      <c r="AX18" s="45">
        <v>7.855548270263521E-2</v>
      </c>
      <c r="AY18" s="45">
        <v>7.815487896501451E-2</v>
      </c>
      <c r="AZ18" s="45">
        <v>7.5483287122612444E-2</v>
      </c>
      <c r="BA18" s="45">
        <v>7.6209582728606146E-2</v>
      </c>
      <c r="BB18" s="45">
        <v>6.4919106473606061E-2</v>
      </c>
      <c r="BC18" s="45">
        <v>9.1410720749561122E-2</v>
      </c>
      <c r="BD18" s="45">
        <v>0.12696091204510265</v>
      </c>
      <c r="BE18" s="45">
        <v>0.1313728463098589</v>
      </c>
      <c r="BF18" s="45">
        <v>0.15702591537179419</v>
      </c>
      <c r="BG18" s="45">
        <v>0.15561758986261839</v>
      </c>
      <c r="BH18" s="45">
        <v>0.1649472346808479</v>
      </c>
      <c r="BI18" s="45">
        <v>0.15893977480043256</v>
      </c>
      <c r="BJ18" s="45">
        <v>0.15252203947105269</v>
      </c>
      <c r="BK18" s="45">
        <v>0.13928357964625354</v>
      </c>
      <c r="BL18" s="45">
        <v>0.12321941801534311</v>
      </c>
      <c r="BM18" s="45">
        <v>0.14309487235114632</v>
      </c>
      <c r="BN18" s="45">
        <v>0.14597146646714734</v>
      </c>
      <c r="BO18" s="45">
        <v>0.13850341248177342</v>
      </c>
      <c r="BP18" s="45">
        <v>0.12825836598218335</v>
      </c>
      <c r="BQ18" s="45">
        <v>0.13178215412630886</v>
      </c>
      <c r="BR18" s="45">
        <v>0.13148643103164737</v>
      </c>
      <c r="BS18" s="45">
        <v>0.12856289668182563</v>
      </c>
      <c r="BT18" s="45">
        <v>0.14273671387776901</v>
      </c>
      <c r="BU18" s="45">
        <v>0.13951640236822938</v>
      </c>
      <c r="BV18" s="45">
        <v>0.13414277728752097</v>
      </c>
      <c r="BW18" s="45">
        <v>0.13545517809801003</v>
      </c>
      <c r="BX18" s="45">
        <v>0.13309758266368069</v>
      </c>
      <c r="BY18" s="45">
        <v>0.13297183837677104</v>
      </c>
      <c r="BZ18" s="45">
        <v>0.13087438570463486</v>
      </c>
    </row>
    <row r="19" spans="1:78" ht="15.75" customHeight="1" x14ac:dyDescent="0.3">
      <c r="A19" s="24" t="s">
        <v>40</v>
      </c>
      <c r="B19" s="14">
        <v>96121</v>
      </c>
      <c r="C19" s="14">
        <v>94094.6</v>
      </c>
      <c r="D19" s="14">
        <v>106489.8</v>
      </c>
      <c r="E19" s="14">
        <v>114084</v>
      </c>
      <c r="F19" s="14">
        <v>122875.20000000001</v>
      </c>
      <c r="G19" s="14">
        <v>122987.9</v>
      </c>
      <c r="H19" s="14">
        <v>123330.6</v>
      </c>
      <c r="I19" s="14">
        <v>121227.3</v>
      </c>
      <c r="J19" s="14">
        <v>126315.95</v>
      </c>
      <c r="K19" s="14">
        <v>135721</v>
      </c>
      <c r="L19" s="14">
        <v>140501</v>
      </c>
      <c r="M19" s="14">
        <v>147261</v>
      </c>
      <c r="N19" s="14">
        <v>144053.29999999999</v>
      </c>
      <c r="O19" s="14">
        <v>147805.29999999999</v>
      </c>
      <c r="P19" s="14">
        <v>151813</v>
      </c>
      <c r="Q19" s="14">
        <v>155348</v>
      </c>
      <c r="R19" s="14">
        <v>157276</v>
      </c>
      <c r="S19" s="14">
        <v>159558</v>
      </c>
      <c r="T19" s="14">
        <v>161481</v>
      </c>
      <c r="U19" s="14">
        <v>168570</v>
      </c>
      <c r="V19" s="14">
        <v>169577</v>
      </c>
      <c r="W19" s="14">
        <v>174021</v>
      </c>
      <c r="X19" s="14">
        <v>175138</v>
      </c>
      <c r="Y19" s="14">
        <v>176753</v>
      </c>
      <c r="Z19" s="14">
        <v>180116</v>
      </c>
      <c r="AA19" s="14">
        <v>186416</v>
      </c>
      <c r="AB19" s="14">
        <v>193712</v>
      </c>
      <c r="AC19" s="14">
        <v>197122</v>
      </c>
      <c r="AD19" s="14">
        <v>202322</v>
      </c>
      <c r="AE19" s="14">
        <v>208433</v>
      </c>
      <c r="AF19" s="14">
        <v>214344.7</v>
      </c>
      <c r="AG19" s="14">
        <v>216714</v>
      </c>
      <c r="AH19" s="14">
        <v>224762.5</v>
      </c>
      <c r="AI19" s="14">
        <v>226619.28220440139</v>
      </c>
      <c r="AJ19" s="14">
        <v>232186</v>
      </c>
      <c r="AK19" s="14">
        <v>236325</v>
      </c>
      <c r="AL19" s="14">
        <v>243914.88342367101</v>
      </c>
      <c r="AM19" s="14">
        <v>251261.6462302584</v>
      </c>
      <c r="AN19" s="14">
        <v>254803</v>
      </c>
      <c r="AO19" s="14">
        <v>257917</v>
      </c>
      <c r="AP19" s="14">
        <v>264132</v>
      </c>
      <c r="AQ19" s="14">
        <v>265433</v>
      </c>
      <c r="AR19" s="14">
        <v>262164.2</v>
      </c>
      <c r="AS19" s="14">
        <v>261773</v>
      </c>
      <c r="AT19" s="14">
        <v>263841.7</v>
      </c>
      <c r="AU19" s="14">
        <v>270321</v>
      </c>
      <c r="AV19" s="14">
        <v>276797</v>
      </c>
      <c r="AW19" s="14">
        <v>278575.95</v>
      </c>
      <c r="AX19" s="14">
        <v>286615.59999999998</v>
      </c>
      <c r="AY19" s="14">
        <v>289534.5</v>
      </c>
      <c r="AZ19" s="14">
        <v>295853</v>
      </c>
      <c r="BA19" s="14">
        <v>297836.25</v>
      </c>
      <c r="BB19" s="14">
        <v>297137.8</v>
      </c>
      <c r="BC19" s="14">
        <v>348425.2</v>
      </c>
      <c r="BD19" s="14">
        <v>342569.95</v>
      </c>
      <c r="BE19" s="14">
        <v>334520.59999999998</v>
      </c>
      <c r="BF19" s="14">
        <v>359390.6</v>
      </c>
      <c r="BG19" s="14">
        <v>392533.3</v>
      </c>
      <c r="BH19" s="14">
        <v>404295.55</v>
      </c>
      <c r="BI19" s="14">
        <v>392859.95</v>
      </c>
      <c r="BJ19" s="14">
        <v>399820.85</v>
      </c>
      <c r="BK19" s="14">
        <v>411079.35</v>
      </c>
      <c r="BL19" s="14">
        <v>416435.6</v>
      </c>
      <c r="BM19" s="14">
        <v>427895.45</v>
      </c>
      <c r="BN19" s="14">
        <v>438353.9</v>
      </c>
      <c r="BO19" s="14">
        <v>448646.65</v>
      </c>
      <c r="BP19" s="14">
        <v>451759.75</v>
      </c>
      <c r="BQ19" s="14">
        <v>465977.55000000005</v>
      </c>
      <c r="BR19" s="14">
        <v>477988.2</v>
      </c>
      <c r="BS19" s="14">
        <v>491732</v>
      </c>
      <c r="BT19" s="14">
        <v>522107</v>
      </c>
      <c r="BU19" s="14">
        <v>537949</v>
      </c>
      <c r="BV19" s="14">
        <v>558167</v>
      </c>
      <c r="BW19" s="14">
        <v>570368</v>
      </c>
      <c r="BX19" s="14">
        <v>590864</v>
      </c>
      <c r="BY19" s="14">
        <v>598786</v>
      </c>
      <c r="BZ19" s="14">
        <v>610036.89624699997</v>
      </c>
    </row>
    <row r="20" spans="1:78" s="8" customFormat="1" ht="15" customHeight="1" x14ac:dyDescent="0.35">
      <c r="A20" s="38" t="s">
        <v>30</v>
      </c>
      <c r="B20" s="22">
        <v>0.625287042277343</v>
      </c>
      <c r="C20" s="22">
        <v>0.54916569881114274</v>
      </c>
      <c r="D20" s="22">
        <v>0.57465139872215509</v>
      </c>
      <c r="E20" s="22">
        <v>0.55515868767579246</v>
      </c>
      <c r="F20" s="22">
        <v>0.51571246899434664</v>
      </c>
      <c r="G20" s="22">
        <v>0.45306419409264048</v>
      </c>
      <c r="H20" s="22">
        <v>0.44303285460776359</v>
      </c>
      <c r="I20" s="22">
        <v>0.42647526507982297</v>
      </c>
      <c r="J20" s="22">
        <v>0.44280057910862142</v>
      </c>
      <c r="K20" s="22">
        <v>0.47316750047936967</v>
      </c>
      <c r="L20" s="22">
        <v>0.4878422249613722</v>
      </c>
      <c r="M20" s="22">
        <v>0.50474026241105585</v>
      </c>
      <c r="N20" s="22">
        <v>0.4884752326180723</v>
      </c>
      <c r="O20" s="22">
        <v>0.49612745789109752</v>
      </c>
      <c r="P20" s="22">
        <v>0.50218986311701541</v>
      </c>
      <c r="Q20" s="22">
        <v>0.50445032553457481</v>
      </c>
      <c r="R20" s="22">
        <v>0.50071313959707608</v>
      </c>
      <c r="S20" s="22">
        <v>0.49724046159551494</v>
      </c>
      <c r="T20" s="22">
        <v>0.49479257631886164</v>
      </c>
      <c r="U20" s="22">
        <v>0.50981862832567659</v>
      </c>
      <c r="V20" s="22">
        <v>0.50722504883002362</v>
      </c>
      <c r="W20" s="22">
        <v>0.51297765279141128</v>
      </c>
      <c r="X20" s="22">
        <v>0.50929827469386213</v>
      </c>
      <c r="Y20" s="22">
        <v>0.5040810622739873</v>
      </c>
      <c r="Z20" s="22">
        <v>0.5061784253937921</v>
      </c>
      <c r="AA20" s="22">
        <v>0.51586480189060402</v>
      </c>
      <c r="AB20" s="22">
        <v>0.52774939858821479</v>
      </c>
      <c r="AC20" s="22">
        <v>0.51635193931249823</v>
      </c>
      <c r="AD20" s="22">
        <v>0.52285125814362765</v>
      </c>
      <c r="AE20" s="22">
        <v>0.52902313729073391</v>
      </c>
      <c r="AF20" s="22">
        <v>0.53584969338189892</v>
      </c>
      <c r="AG20" s="22">
        <v>0.53491138865577337</v>
      </c>
      <c r="AH20" s="22">
        <v>0.54661470366497245</v>
      </c>
      <c r="AI20" s="22">
        <v>0.54476181848523275</v>
      </c>
      <c r="AJ20" s="22">
        <v>0.55067094834006103</v>
      </c>
      <c r="AK20" s="22">
        <v>0.55427601104213042</v>
      </c>
      <c r="AL20" s="22">
        <v>0.56351163323769782</v>
      </c>
      <c r="AM20" s="22">
        <v>0.57174048219724394</v>
      </c>
      <c r="AN20" s="22">
        <v>0.57142504731917798</v>
      </c>
      <c r="AO20" s="22">
        <v>0.56881075883484178</v>
      </c>
      <c r="AP20" s="22">
        <v>0.57532313080753295</v>
      </c>
      <c r="AQ20" s="22">
        <v>0.56935801817686515</v>
      </c>
      <c r="AR20" s="22">
        <v>0.55541026950186334</v>
      </c>
      <c r="AS20" s="22">
        <v>0.54628682807928441</v>
      </c>
      <c r="AT20" s="22">
        <v>0.54422568388744275</v>
      </c>
      <c r="AU20" s="22">
        <v>0.54840633691808627</v>
      </c>
      <c r="AV20" s="22">
        <v>0.55385098685790202</v>
      </c>
      <c r="AW20" s="22">
        <v>0.54883701915973016</v>
      </c>
      <c r="AX20" s="22">
        <v>0.55930670038716124</v>
      </c>
      <c r="AY20" s="22">
        <v>0.56209485943478832</v>
      </c>
      <c r="AZ20" s="22">
        <v>0.56964918361059769</v>
      </c>
      <c r="BA20" s="22">
        <v>0.57329341812988188</v>
      </c>
      <c r="BB20" s="22">
        <v>0.57373253292604987</v>
      </c>
      <c r="BC20" s="22">
        <v>0.72902519809261968</v>
      </c>
      <c r="BD20" s="22">
        <v>0.73772016719678357</v>
      </c>
      <c r="BE20" s="22">
        <v>0.73506309727065566</v>
      </c>
      <c r="BF20" s="22">
        <v>0.80512975608007598</v>
      </c>
      <c r="BG20" s="22">
        <v>0.84910802549920072</v>
      </c>
      <c r="BH20" s="22">
        <v>0.85898062120088636</v>
      </c>
      <c r="BI20" s="22">
        <v>0.81077612537870347</v>
      </c>
      <c r="BJ20" s="22">
        <v>0.79962250905978249</v>
      </c>
      <c r="BK20" s="22">
        <v>0.7824896068891477</v>
      </c>
      <c r="BL20" s="22">
        <v>0.76136947030474111</v>
      </c>
      <c r="BM20" s="22">
        <v>0.74863437071354588</v>
      </c>
      <c r="BN20" s="22">
        <v>0.74539841518160799</v>
      </c>
      <c r="BO20" s="22">
        <v>0.74086548067856617</v>
      </c>
      <c r="BP20" s="22">
        <v>0.72866708818496051</v>
      </c>
      <c r="BQ20" s="22">
        <v>0.73150743316431466</v>
      </c>
      <c r="BR20" s="22">
        <v>0.73464424972988096</v>
      </c>
      <c r="BS20" s="22">
        <v>0.73974362638833935</v>
      </c>
      <c r="BT20" s="22">
        <v>0.76812860722098886</v>
      </c>
      <c r="BU20" s="22">
        <v>0.77587492518154744</v>
      </c>
      <c r="BV20" s="22">
        <v>0.79189922337645391</v>
      </c>
      <c r="BW20" s="22">
        <v>0.79543796867438632</v>
      </c>
      <c r="BX20" s="22">
        <v>0.81080665700610377</v>
      </c>
      <c r="BY20" s="22">
        <v>0.80567538111704629</v>
      </c>
      <c r="BZ20" s="22">
        <v>0.80807080954128196</v>
      </c>
    </row>
    <row r="21" spans="1:78" x14ac:dyDescent="0.3">
      <c r="A21" s="35" t="s">
        <v>39</v>
      </c>
      <c r="B21" s="35">
        <v>36.814999999999998</v>
      </c>
      <c r="C21" s="35">
        <v>57</v>
      </c>
      <c r="D21" s="35">
        <v>214</v>
      </c>
      <c r="E21" s="35">
        <v>412.78899999999999</v>
      </c>
      <c r="F21" s="35">
        <v>316</v>
      </c>
      <c r="G21" s="35">
        <v>313.3</v>
      </c>
      <c r="H21" s="35">
        <v>312.40000000000003</v>
      </c>
      <c r="I21" s="35">
        <v>336.9</v>
      </c>
      <c r="J21" s="35">
        <v>348.6</v>
      </c>
      <c r="K21" s="35">
        <v>363.59999999999997</v>
      </c>
      <c r="L21" s="35">
        <v>363.09999999999997</v>
      </c>
      <c r="M21" s="35">
        <v>352</v>
      </c>
      <c r="N21" s="35">
        <v>292.2</v>
      </c>
      <c r="O21" s="35">
        <v>292.2</v>
      </c>
      <c r="P21" s="35">
        <v>314.5</v>
      </c>
      <c r="Q21" s="35">
        <v>333.6</v>
      </c>
      <c r="R21" s="35">
        <v>327.2</v>
      </c>
      <c r="S21" s="35">
        <v>315.8</v>
      </c>
      <c r="T21" s="35">
        <v>312</v>
      </c>
      <c r="U21" s="35">
        <v>296</v>
      </c>
      <c r="V21" s="35">
        <v>296</v>
      </c>
      <c r="W21" s="35">
        <v>290</v>
      </c>
      <c r="X21" s="35">
        <v>294</v>
      </c>
      <c r="Y21" s="35">
        <v>285</v>
      </c>
      <c r="Z21" s="35">
        <v>286</v>
      </c>
      <c r="AA21" s="35">
        <v>276</v>
      </c>
      <c r="AB21" s="35">
        <v>314</v>
      </c>
      <c r="AC21" s="35">
        <v>184</v>
      </c>
      <c r="AD21" s="35">
        <v>184</v>
      </c>
      <c r="AE21" s="35">
        <v>173</v>
      </c>
      <c r="AF21" s="35">
        <v>173</v>
      </c>
      <c r="AG21" s="35">
        <v>161</v>
      </c>
      <c r="AH21" s="35">
        <v>173</v>
      </c>
      <c r="AI21" s="35">
        <v>160</v>
      </c>
      <c r="AJ21" s="35">
        <v>162</v>
      </c>
      <c r="AK21" s="35">
        <v>150</v>
      </c>
      <c r="AL21" s="35">
        <v>150</v>
      </c>
      <c r="AM21" s="35">
        <v>139</v>
      </c>
      <c r="AN21" s="35">
        <v>139</v>
      </c>
      <c r="AO21" s="35">
        <v>126</v>
      </c>
      <c r="AP21" s="35">
        <v>125</v>
      </c>
      <c r="AQ21" s="35">
        <v>114</v>
      </c>
      <c r="AR21" s="35">
        <v>114</v>
      </c>
      <c r="AS21" s="35">
        <v>102</v>
      </c>
      <c r="AT21" s="35">
        <v>103</v>
      </c>
      <c r="AU21" s="35">
        <v>92</v>
      </c>
      <c r="AV21" s="35">
        <v>91</v>
      </c>
      <c r="AW21" s="35">
        <v>91</v>
      </c>
      <c r="AX21" s="35">
        <v>80</v>
      </c>
      <c r="AY21" s="35">
        <v>70</v>
      </c>
      <c r="AZ21" s="35">
        <v>70</v>
      </c>
      <c r="BA21" s="35">
        <v>71</v>
      </c>
      <c r="BB21" s="35">
        <v>61</v>
      </c>
      <c r="BC21" s="35">
        <v>217</v>
      </c>
      <c r="BD21" s="35">
        <v>166</v>
      </c>
      <c r="BE21" s="35">
        <v>165</v>
      </c>
      <c r="BF21" s="35">
        <v>150</v>
      </c>
      <c r="BG21" s="35">
        <v>136</v>
      </c>
      <c r="BH21" s="35">
        <v>135</v>
      </c>
      <c r="BI21" s="35">
        <v>133.19999999999999</v>
      </c>
      <c r="BJ21" s="35">
        <v>131.82</v>
      </c>
      <c r="BK21" s="35">
        <v>130.44</v>
      </c>
      <c r="BL21" s="35">
        <v>129.07</v>
      </c>
      <c r="BM21" s="35">
        <v>127.8</v>
      </c>
      <c r="BN21" s="35">
        <v>127</v>
      </c>
      <c r="BO21" s="35">
        <v>125.4</v>
      </c>
      <c r="BP21" s="35">
        <v>125.14</v>
      </c>
      <c r="BQ21" s="35">
        <v>122.89</v>
      </c>
      <c r="BR21" s="35">
        <v>121.6</v>
      </c>
      <c r="BS21" s="35">
        <v>120.3</v>
      </c>
      <c r="BT21" s="35">
        <v>119</v>
      </c>
      <c r="BU21" s="35">
        <v>117.7</v>
      </c>
      <c r="BV21" s="35">
        <v>116</v>
      </c>
      <c r="BW21" s="35">
        <v>115</v>
      </c>
      <c r="BX21" s="35">
        <v>113</v>
      </c>
      <c r="BY21" s="35">
        <v>24</v>
      </c>
      <c r="BZ21" s="35">
        <v>24</v>
      </c>
    </row>
    <row r="22" spans="1:78" x14ac:dyDescent="0.3">
      <c r="A22" s="41" t="s">
        <v>25</v>
      </c>
      <c r="B22" s="40">
        <v>35.314999999999998</v>
      </c>
      <c r="C22" s="40">
        <v>55</v>
      </c>
      <c r="D22" s="40">
        <v>151</v>
      </c>
      <c r="E22" s="40">
        <v>288.78899999999999</v>
      </c>
      <c r="F22" s="40">
        <v>83</v>
      </c>
      <c r="G22" s="39">
        <v>82.7</v>
      </c>
      <c r="H22" s="39">
        <v>82.7</v>
      </c>
      <c r="I22" s="39">
        <v>82.7</v>
      </c>
      <c r="J22" s="39">
        <v>82.7</v>
      </c>
      <c r="K22" s="39">
        <v>77</v>
      </c>
      <c r="L22" s="39">
        <v>76.5</v>
      </c>
      <c r="M22" s="39">
        <v>76.2</v>
      </c>
      <c r="N22" s="39">
        <v>75.8</v>
      </c>
      <c r="O22" s="39">
        <v>75.8</v>
      </c>
      <c r="P22" s="39">
        <v>74</v>
      </c>
      <c r="Q22" s="39">
        <v>104.7</v>
      </c>
      <c r="R22" s="39">
        <v>104.7</v>
      </c>
      <c r="S22" s="39">
        <v>104.7</v>
      </c>
      <c r="T22" s="19">
        <v>105</v>
      </c>
      <c r="U22" s="19">
        <v>105</v>
      </c>
      <c r="V22" s="19">
        <v>105</v>
      </c>
      <c r="W22" s="19">
        <v>105</v>
      </c>
      <c r="X22" s="19">
        <v>105</v>
      </c>
      <c r="Y22" s="19">
        <v>105</v>
      </c>
      <c r="Z22" s="19">
        <v>105</v>
      </c>
      <c r="AA22" s="19">
        <v>105</v>
      </c>
      <c r="AB22" s="19">
        <v>143</v>
      </c>
      <c r="AC22" s="19">
        <v>24</v>
      </c>
      <c r="AD22" s="19">
        <v>24</v>
      </c>
      <c r="AE22" s="19">
        <v>24</v>
      </c>
      <c r="AF22" s="19">
        <v>24</v>
      </c>
      <c r="AG22" s="19">
        <v>24</v>
      </c>
      <c r="AH22" s="19">
        <v>24</v>
      </c>
      <c r="AI22" s="19">
        <v>24</v>
      </c>
      <c r="AJ22" s="19">
        <v>24</v>
      </c>
      <c r="AK22" s="19">
        <v>24</v>
      </c>
      <c r="AL22" s="19">
        <v>24</v>
      </c>
      <c r="AM22" s="19">
        <v>24</v>
      </c>
      <c r="AN22" s="19">
        <v>24</v>
      </c>
      <c r="AO22" s="19">
        <v>24</v>
      </c>
      <c r="AP22" s="19">
        <v>24</v>
      </c>
      <c r="AQ22" s="19">
        <v>24</v>
      </c>
      <c r="AR22" s="19">
        <v>24</v>
      </c>
      <c r="AS22" s="19">
        <v>24</v>
      </c>
      <c r="AT22" s="19">
        <v>24</v>
      </c>
      <c r="AU22" s="19">
        <v>24</v>
      </c>
      <c r="AV22" s="19">
        <v>24</v>
      </c>
      <c r="AW22" s="19">
        <v>24</v>
      </c>
      <c r="AX22" s="19">
        <v>24</v>
      </c>
      <c r="AY22" s="19">
        <v>24</v>
      </c>
      <c r="AZ22" s="19">
        <v>24</v>
      </c>
      <c r="BA22" s="19">
        <v>24</v>
      </c>
      <c r="BB22" s="19">
        <v>24</v>
      </c>
      <c r="BC22" s="19">
        <v>24</v>
      </c>
      <c r="BD22" s="19">
        <v>24</v>
      </c>
      <c r="BE22" s="19">
        <v>24</v>
      </c>
      <c r="BF22" s="19">
        <v>24</v>
      </c>
      <c r="BG22" s="19">
        <v>24</v>
      </c>
      <c r="BH22" s="19">
        <v>24</v>
      </c>
      <c r="BI22" s="19">
        <v>24</v>
      </c>
      <c r="BJ22" s="19">
        <v>24</v>
      </c>
      <c r="BK22" s="19">
        <v>24</v>
      </c>
      <c r="BL22" s="19">
        <v>24</v>
      </c>
      <c r="BM22" s="19">
        <v>24</v>
      </c>
      <c r="BN22" s="19">
        <v>24</v>
      </c>
      <c r="BO22" s="19">
        <v>24</v>
      </c>
      <c r="BP22" s="19">
        <v>24</v>
      </c>
      <c r="BQ22" s="19">
        <v>24</v>
      </c>
      <c r="BR22" s="19">
        <v>24</v>
      </c>
      <c r="BS22" s="19">
        <v>24</v>
      </c>
      <c r="BT22" s="19">
        <v>24</v>
      </c>
      <c r="BU22" s="19">
        <v>24</v>
      </c>
      <c r="BV22" s="19">
        <v>24</v>
      </c>
      <c r="BW22" s="19">
        <v>24</v>
      </c>
      <c r="BX22" s="19">
        <v>24</v>
      </c>
      <c r="BY22" s="19">
        <v>24</v>
      </c>
      <c r="BZ22" s="19">
        <v>24</v>
      </c>
    </row>
    <row r="23" spans="1:78" x14ac:dyDescent="0.3">
      <c r="A23" s="41" t="s">
        <v>38</v>
      </c>
      <c r="B23" s="40">
        <v>1.5</v>
      </c>
      <c r="C23" s="40">
        <v>2</v>
      </c>
      <c r="D23" s="40">
        <v>2</v>
      </c>
      <c r="E23" s="40">
        <v>1.3</v>
      </c>
      <c r="F23" s="40">
        <v>4</v>
      </c>
      <c r="G23" s="39">
        <v>4.4000000000000004</v>
      </c>
      <c r="H23" s="39">
        <v>3.4</v>
      </c>
      <c r="I23" s="39">
        <v>3.1</v>
      </c>
      <c r="J23" s="39">
        <v>6.8</v>
      </c>
      <c r="K23" s="39">
        <v>6.2</v>
      </c>
      <c r="L23" s="39">
        <v>6.2</v>
      </c>
      <c r="M23" s="39">
        <v>5.8</v>
      </c>
      <c r="N23" s="39">
        <v>5.4</v>
      </c>
      <c r="O23" s="39">
        <v>5.4</v>
      </c>
      <c r="P23" s="39">
        <v>4.5</v>
      </c>
      <c r="Q23" s="39">
        <v>3.9</v>
      </c>
      <c r="R23" s="39">
        <v>3.5</v>
      </c>
      <c r="S23" s="39">
        <v>3.1</v>
      </c>
      <c r="T23" s="19">
        <v>3</v>
      </c>
      <c r="U23" s="19">
        <v>0</v>
      </c>
      <c r="V23" s="19">
        <v>0</v>
      </c>
      <c r="W23" s="19">
        <v>0</v>
      </c>
      <c r="X23" s="19">
        <v>0</v>
      </c>
      <c r="Y23" s="19">
        <v>0</v>
      </c>
      <c r="Z23" s="19">
        <v>0</v>
      </c>
      <c r="AA23" s="19">
        <v>0</v>
      </c>
      <c r="AB23" s="19">
        <v>0</v>
      </c>
      <c r="AC23" s="19">
        <v>0</v>
      </c>
      <c r="AD23" s="19">
        <v>0</v>
      </c>
      <c r="AE23" s="19">
        <v>0</v>
      </c>
      <c r="AF23" s="19">
        <v>0</v>
      </c>
      <c r="AG23" s="19">
        <v>0</v>
      </c>
      <c r="AH23" s="19">
        <v>0</v>
      </c>
      <c r="AI23" s="19">
        <v>0</v>
      </c>
      <c r="AJ23" s="19">
        <v>0</v>
      </c>
      <c r="AK23" s="19">
        <v>0</v>
      </c>
      <c r="AL23" s="19">
        <v>0</v>
      </c>
      <c r="AM23" s="19">
        <v>0</v>
      </c>
      <c r="AN23" s="19">
        <v>0</v>
      </c>
      <c r="AO23" s="19">
        <v>0</v>
      </c>
      <c r="AP23" s="19">
        <v>0</v>
      </c>
      <c r="AQ23" s="19">
        <v>0</v>
      </c>
      <c r="AR23" s="19">
        <v>0</v>
      </c>
      <c r="AS23" s="19">
        <v>0</v>
      </c>
      <c r="AT23" s="19">
        <v>0</v>
      </c>
      <c r="AU23" s="19">
        <v>0</v>
      </c>
      <c r="AV23" s="19">
        <v>0</v>
      </c>
      <c r="AW23" s="19">
        <v>0</v>
      </c>
      <c r="AX23" s="19">
        <v>0</v>
      </c>
      <c r="AY23" s="19">
        <v>0</v>
      </c>
      <c r="AZ23" s="19">
        <v>0</v>
      </c>
      <c r="BA23" s="19">
        <v>0</v>
      </c>
      <c r="BB23" s="19">
        <v>0</v>
      </c>
      <c r="BC23" s="19">
        <v>167</v>
      </c>
      <c r="BD23" s="19">
        <v>116</v>
      </c>
      <c r="BE23" s="19">
        <v>115</v>
      </c>
      <c r="BF23" s="19">
        <v>113</v>
      </c>
      <c r="BG23" s="19">
        <v>112</v>
      </c>
      <c r="BH23" s="19">
        <v>111</v>
      </c>
      <c r="BI23" s="19">
        <v>109.2</v>
      </c>
      <c r="BJ23" s="19">
        <v>107.82</v>
      </c>
      <c r="BK23" s="19">
        <v>106.44</v>
      </c>
      <c r="BL23" s="19">
        <v>105.07</v>
      </c>
      <c r="BM23" s="19">
        <v>103.8</v>
      </c>
      <c r="BN23" s="19">
        <v>103</v>
      </c>
      <c r="BO23" s="19">
        <v>101.4</v>
      </c>
      <c r="BP23" s="19">
        <v>101.14</v>
      </c>
      <c r="BQ23" s="19">
        <v>98.89</v>
      </c>
      <c r="BR23" s="19">
        <v>97.6</v>
      </c>
      <c r="BS23" s="19">
        <v>96.3</v>
      </c>
      <c r="BT23" s="19">
        <v>95</v>
      </c>
      <c r="BU23" s="19">
        <v>93.7</v>
      </c>
      <c r="BV23" s="19">
        <v>92</v>
      </c>
      <c r="BW23" s="19">
        <v>91</v>
      </c>
      <c r="BX23" s="19">
        <v>89</v>
      </c>
      <c r="BY23" s="19">
        <v>0</v>
      </c>
      <c r="BZ23" s="19">
        <v>0</v>
      </c>
    </row>
    <row r="24" spans="1:78" x14ac:dyDescent="0.3">
      <c r="A24" s="41" t="s">
        <v>37</v>
      </c>
      <c r="B24" s="40">
        <v>0</v>
      </c>
      <c r="C24" s="40">
        <v>0</v>
      </c>
      <c r="D24" s="40">
        <v>61</v>
      </c>
      <c r="E24" s="40">
        <v>122.7</v>
      </c>
      <c r="F24" s="39">
        <v>229</v>
      </c>
      <c r="G24" s="39">
        <v>226.2</v>
      </c>
      <c r="H24" s="39">
        <v>226.3</v>
      </c>
      <c r="I24" s="39">
        <v>251.1</v>
      </c>
      <c r="J24" s="39">
        <v>259.10000000000002</v>
      </c>
      <c r="K24" s="39">
        <v>280.39999999999998</v>
      </c>
      <c r="L24" s="39">
        <v>280.39999999999998</v>
      </c>
      <c r="M24" s="39">
        <v>270</v>
      </c>
      <c r="N24" s="39">
        <v>211</v>
      </c>
      <c r="O24" s="39">
        <v>211</v>
      </c>
      <c r="P24" s="39">
        <v>236</v>
      </c>
      <c r="Q24" s="39">
        <v>225</v>
      </c>
      <c r="R24" s="39">
        <v>219</v>
      </c>
      <c r="S24" s="39">
        <v>208</v>
      </c>
      <c r="T24" s="19">
        <v>204</v>
      </c>
      <c r="U24" s="19">
        <v>191</v>
      </c>
      <c r="V24" s="19">
        <v>191</v>
      </c>
      <c r="W24" s="19">
        <v>185</v>
      </c>
      <c r="X24" s="19">
        <v>189</v>
      </c>
      <c r="Y24" s="19">
        <v>180</v>
      </c>
      <c r="Z24" s="19">
        <v>181</v>
      </c>
      <c r="AA24" s="19">
        <v>171</v>
      </c>
      <c r="AB24" s="19">
        <v>171</v>
      </c>
      <c r="AC24" s="19">
        <v>160</v>
      </c>
      <c r="AD24" s="19">
        <v>160</v>
      </c>
      <c r="AE24" s="19">
        <v>149</v>
      </c>
      <c r="AF24" s="19">
        <v>149</v>
      </c>
      <c r="AG24" s="19">
        <v>137</v>
      </c>
      <c r="AH24" s="19">
        <v>149</v>
      </c>
      <c r="AI24" s="19">
        <v>136</v>
      </c>
      <c r="AJ24" s="19">
        <v>138</v>
      </c>
      <c r="AK24" s="19">
        <v>126</v>
      </c>
      <c r="AL24" s="19">
        <v>126</v>
      </c>
      <c r="AM24" s="19">
        <v>115</v>
      </c>
      <c r="AN24" s="19">
        <v>115</v>
      </c>
      <c r="AO24" s="19">
        <v>102</v>
      </c>
      <c r="AP24" s="19">
        <v>101</v>
      </c>
      <c r="AQ24" s="19">
        <v>90</v>
      </c>
      <c r="AR24" s="19">
        <v>90</v>
      </c>
      <c r="AS24" s="19">
        <v>78</v>
      </c>
      <c r="AT24" s="19">
        <v>79</v>
      </c>
      <c r="AU24" s="19">
        <v>68</v>
      </c>
      <c r="AV24" s="19">
        <v>67</v>
      </c>
      <c r="AW24" s="19">
        <v>67</v>
      </c>
      <c r="AX24" s="19">
        <v>56</v>
      </c>
      <c r="AY24" s="19">
        <v>46</v>
      </c>
      <c r="AZ24" s="19">
        <v>46</v>
      </c>
      <c r="BA24" s="19">
        <v>47</v>
      </c>
      <c r="BB24" s="19">
        <v>37</v>
      </c>
      <c r="BC24" s="19">
        <v>26</v>
      </c>
      <c r="BD24" s="19">
        <v>26</v>
      </c>
      <c r="BE24" s="19">
        <v>26</v>
      </c>
      <c r="BF24" s="19">
        <v>13</v>
      </c>
      <c r="BG24" s="19">
        <v>0</v>
      </c>
      <c r="BH24" s="19">
        <v>0</v>
      </c>
      <c r="BI24" s="19">
        <v>0</v>
      </c>
      <c r="BJ24" s="19">
        <v>0</v>
      </c>
      <c r="BK24" s="19">
        <v>0</v>
      </c>
      <c r="BL24" s="19">
        <v>0</v>
      </c>
      <c r="BM24" s="19">
        <v>0</v>
      </c>
      <c r="BN24" s="19">
        <v>0</v>
      </c>
      <c r="BO24" s="19">
        <v>0</v>
      </c>
      <c r="BP24" s="19">
        <v>0</v>
      </c>
      <c r="BQ24" s="19">
        <v>0</v>
      </c>
      <c r="BR24" s="19">
        <v>0</v>
      </c>
      <c r="BS24" s="19">
        <v>0</v>
      </c>
      <c r="BT24" s="19">
        <v>0</v>
      </c>
      <c r="BU24" s="19">
        <v>0</v>
      </c>
      <c r="BV24" s="19">
        <v>0</v>
      </c>
      <c r="BW24" s="19">
        <v>0</v>
      </c>
      <c r="BX24" s="19">
        <v>0</v>
      </c>
      <c r="BY24" s="19">
        <v>0</v>
      </c>
      <c r="BZ24" s="19">
        <v>0</v>
      </c>
    </row>
    <row r="25" spans="1:78" ht="14.5" customHeight="1" x14ac:dyDescent="0.3">
      <c r="A25" s="41" t="s">
        <v>36</v>
      </c>
      <c r="B25" s="40">
        <v>0</v>
      </c>
      <c r="C25" s="40">
        <v>0</v>
      </c>
      <c r="D25" s="40">
        <v>0</v>
      </c>
      <c r="E25" s="40">
        <v>0</v>
      </c>
      <c r="F25" s="39">
        <v>0</v>
      </c>
      <c r="G25" s="30">
        <v>0</v>
      </c>
      <c r="H25" s="30">
        <v>0</v>
      </c>
      <c r="I25" s="30">
        <v>0</v>
      </c>
      <c r="J25" s="30">
        <v>0</v>
      </c>
      <c r="K25" s="30">
        <v>0</v>
      </c>
      <c r="L25" s="30">
        <v>0</v>
      </c>
      <c r="M25" s="30">
        <v>0</v>
      </c>
      <c r="N25" s="30">
        <v>0</v>
      </c>
      <c r="O25" s="30">
        <v>0</v>
      </c>
      <c r="P25" s="30">
        <v>0</v>
      </c>
      <c r="Q25" s="30">
        <v>0</v>
      </c>
      <c r="R25" s="30">
        <v>0</v>
      </c>
      <c r="S25" s="30">
        <v>0</v>
      </c>
      <c r="T25" s="19">
        <v>0</v>
      </c>
      <c r="U25" s="19">
        <v>0</v>
      </c>
      <c r="V25" s="19">
        <v>0</v>
      </c>
      <c r="W25" s="19">
        <v>0</v>
      </c>
      <c r="X25" s="19">
        <v>0</v>
      </c>
      <c r="Y25" s="19">
        <v>0</v>
      </c>
      <c r="Z25" s="19">
        <v>0</v>
      </c>
      <c r="AA25" s="19">
        <v>0</v>
      </c>
      <c r="AB25" s="19">
        <v>0</v>
      </c>
      <c r="AC25" s="19">
        <v>0</v>
      </c>
      <c r="AD25" s="19">
        <v>0</v>
      </c>
      <c r="AE25" s="19">
        <v>0</v>
      </c>
      <c r="AF25" s="19">
        <v>0</v>
      </c>
      <c r="AG25" s="19">
        <v>0</v>
      </c>
      <c r="AH25" s="19">
        <v>0</v>
      </c>
      <c r="AI25" s="19">
        <v>0</v>
      </c>
      <c r="AJ25" s="19">
        <v>0</v>
      </c>
      <c r="AK25" s="19">
        <v>0</v>
      </c>
      <c r="AL25" s="19">
        <v>0</v>
      </c>
      <c r="AM25" s="19">
        <v>0</v>
      </c>
      <c r="AN25" s="19">
        <v>0</v>
      </c>
      <c r="AO25" s="19">
        <v>0</v>
      </c>
      <c r="AP25" s="19">
        <v>0</v>
      </c>
      <c r="AQ25" s="19">
        <v>0</v>
      </c>
      <c r="AR25" s="19">
        <v>0</v>
      </c>
      <c r="AS25" s="19">
        <v>0</v>
      </c>
      <c r="AT25" s="19">
        <v>0</v>
      </c>
      <c r="AU25" s="19">
        <v>0</v>
      </c>
      <c r="AV25" s="19">
        <v>0</v>
      </c>
      <c r="AW25" s="19">
        <v>0</v>
      </c>
      <c r="AX25" s="19">
        <v>0</v>
      </c>
      <c r="AY25" s="19">
        <v>0</v>
      </c>
      <c r="AZ25" s="19">
        <v>0</v>
      </c>
      <c r="BA25" s="19">
        <v>0</v>
      </c>
      <c r="BB25" s="19">
        <v>0</v>
      </c>
      <c r="BC25" s="19">
        <v>0</v>
      </c>
      <c r="BD25" s="19">
        <v>0</v>
      </c>
      <c r="BE25" s="19">
        <v>0</v>
      </c>
      <c r="BF25" s="19">
        <v>0</v>
      </c>
      <c r="BG25" s="19">
        <v>0</v>
      </c>
      <c r="BH25" s="19">
        <v>0</v>
      </c>
      <c r="BI25" s="19">
        <v>0</v>
      </c>
      <c r="BJ25" s="19">
        <v>0</v>
      </c>
      <c r="BK25" s="19">
        <v>0</v>
      </c>
      <c r="BL25" s="19">
        <v>0</v>
      </c>
      <c r="BM25" s="19">
        <v>0</v>
      </c>
      <c r="BN25" s="19">
        <v>0</v>
      </c>
      <c r="BO25" s="19">
        <v>0</v>
      </c>
      <c r="BP25" s="19">
        <v>0</v>
      </c>
      <c r="BQ25" s="19">
        <v>0</v>
      </c>
      <c r="BR25" s="19">
        <v>0</v>
      </c>
      <c r="BS25" s="19">
        <v>0</v>
      </c>
      <c r="BT25" s="19">
        <v>0</v>
      </c>
      <c r="BU25" s="19">
        <v>0</v>
      </c>
      <c r="BV25" s="19">
        <v>0</v>
      </c>
      <c r="BW25" s="19">
        <v>0</v>
      </c>
      <c r="BX25" s="19">
        <v>0</v>
      </c>
      <c r="BY25" s="19">
        <v>0</v>
      </c>
      <c r="BZ25" s="19">
        <v>0</v>
      </c>
    </row>
    <row r="26" spans="1:78" s="8" customFormat="1" ht="13.5" x14ac:dyDescent="0.35">
      <c r="A26" s="38" t="s">
        <v>30</v>
      </c>
      <c r="B26" s="44">
        <v>2.3948921111349635E-4</v>
      </c>
      <c r="C26" s="44">
        <v>3.3266993889378489E-4</v>
      </c>
      <c r="D26" s="44">
        <v>1.154809186668969E-3</v>
      </c>
      <c r="E26" s="44">
        <v>2.0087251457435108E-3</v>
      </c>
      <c r="F26" s="44">
        <v>1.3262655133193153E-3</v>
      </c>
      <c r="G26" s="44">
        <v>1.1541380250351804E-3</v>
      </c>
      <c r="H26" s="44">
        <v>1.1222151175739464E-3</v>
      </c>
      <c r="I26" s="44">
        <v>1.185207596023275E-3</v>
      </c>
      <c r="J26" s="44">
        <v>1.2220173452146418E-3</v>
      </c>
      <c r="K26" s="44">
        <v>1.2676277302281799E-3</v>
      </c>
      <c r="L26" s="44">
        <v>1.2607420010069268E-3</v>
      </c>
      <c r="M26" s="44">
        <v>1.2064876129368376E-3</v>
      </c>
      <c r="N26" s="44">
        <v>9.9083091446708067E-4</v>
      </c>
      <c r="O26" s="44">
        <v>9.8080679918635325E-4</v>
      </c>
      <c r="P26" s="44">
        <v>1.0403503780987225E-3</v>
      </c>
      <c r="Q26" s="44">
        <v>1.0832751538374114E-3</v>
      </c>
      <c r="R26" s="44">
        <v>1.0416931971576292E-3</v>
      </c>
      <c r="S26" s="44">
        <v>9.8414706734769567E-4</v>
      </c>
      <c r="T26" s="44">
        <v>9.5599658047376983E-4</v>
      </c>
      <c r="U26" s="44">
        <v>8.9521453392893326E-4</v>
      </c>
      <c r="V26" s="44">
        <v>8.8537133251376666E-4</v>
      </c>
      <c r="W26" s="44">
        <v>8.5485958194418655E-4</v>
      </c>
      <c r="X26" s="44">
        <v>8.549469147757509E-4</v>
      </c>
      <c r="Y26" s="44">
        <v>8.1279018035386322E-4</v>
      </c>
      <c r="Z26" s="44">
        <v>8.0374330799387356E-4</v>
      </c>
      <c r="AA26" s="44">
        <v>7.6376858918658641E-4</v>
      </c>
      <c r="AB26" s="44">
        <v>8.5546229018697577E-4</v>
      </c>
      <c r="AC26" s="44">
        <v>4.8197946872241386E-4</v>
      </c>
      <c r="AD26" s="44">
        <v>4.7550257262397308E-4</v>
      </c>
      <c r="AE26" s="44">
        <v>4.3909075219037758E-4</v>
      </c>
      <c r="AF26" s="44">
        <v>4.3249026896894819E-4</v>
      </c>
      <c r="AG26" s="44">
        <v>3.9739349360714817E-4</v>
      </c>
      <c r="AH26" s="44">
        <v>4.2073007612052825E-4</v>
      </c>
      <c r="AI26" s="44">
        <v>3.8461815830402623E-4</v>
      </c>
      <c r="AJ26" s="44">
        <v>3.8421219897448547E-4</v>
      </c>
      <c r="AK26" s="44">
        <v>3.5180959126761686E-4</v>
      </c>
      <c r="AL26" s="44">
        <v>3.4654197316378958E-4</v>
      </c>
      <c r="AM26" s="44">
        <v>3.1629151610583706E-4</v>
      </c>
      <c r="AN26" s="44">
        <v>3.1172349453250449E-4</v>
      </c>
      <c r="AO26" s="44">
        <v>2.7788069655427936E-4</v>
      </c>
      <c r="AP26" s="44">
        <v>2.7227065009518582E-4</v>
      </c>
      <c r="AQ26" s="44">
        <v>2.4453181809406751E-4</v>
      </c>
      <c r="AR26" s="44">
        <v>2.4151570169844857E-4</v>
      </c>
      <c r="AS26" s="44">
        <v>2.128609767397211E-4</v>
      </c>
      <c r="AT26" s="44">
        <v>2.1245786939822856E-4</v>
      </c>
      <c r="AU26" s="44">
        <v>1.8664248429261485E-4</v>
      </c>
      <c r="AV26" s="44">
        <v>1.8208448720206176E-4</v>
      </c>
      <c r="AW26" s="44">
        <v>1.7928384967738758E-4</v>
      </c>
      <c r="AX26" s="44">
        <v>1.5611340077432246E-4</v>
      </c>
      <c r="AY26" s="44">
        <v>1.3589620636033072E-4</v>
      </c>
      <c r="AZ26" s="44">
        <v>1.3478126925446703E-4</v>
      </c>
      <c r="BA26" s="44">
        <v>1.3666513961017713E-4</v>
      </c>
      <c r="BB26" s="44">
        <v>1.1778267358945595E-4</v>
      </c>
      <c r="BC26" s="44">
        <v>4.5403853678235232E-4</v>
      </c>
      <c r="BD26" s="44">
        <v>3.5747895504163767E-4</v>
      </c>
      <c r="BE26" s="44">
        <v>3.6256484966742914E-4</v>
      </c>
      <c r="BF26" s="44">
        <v>3.3603957202000108E-4</v>
      </c>
      <c r="BG26" s="44">
        <v>2.941882675123137E-4</v>
      </c>
      <c r="BH26" s="44">
        <v>2.8682577352661851E-4</v>
      </c>
      <c r="BI26" s="44">
        <v>2.7489536640332846E-4</v>
      </c>
      <c r="BJ26" s="44">
        <v>2.6363367279185298E-4</v>
      </c>
      <c r="BK26" s="44">
        <v>2.4829256035998996E-4</v>
      </c>
      <c r="BL26" s="44">
        <v>2.3597876245986878E-4</v>
      </c>
      <c r="BM26" s="44">
        <v>2.2359544271197826E-4</v>
      </c>
      <c r="BN26" s="44">
        <v>2.1595701265133996E-4</v>
      </c>
      <c r="BO26" s="44">
        <v>2.0707728738661527E-4</v>
      </c>
      <c r="BP26" s="44">
        <v>2.0184489524678983E-4</v>
      </c>
      <c r="BQ26" s="44">
        <v>1.9291690868275223E-4</v>
      </c>
      <c r="BR26" s="44">
        <v>1.8689319269210729E-4</v>
      </c>
      <c r="BS26" s="44">
        <v>1.8097491774893076E-4</v>
      </c>
      <c r="BT26" s="44">
        <v>1.7507389148066905E-4</v>
      </c>
      <c r="BU26" s="44">
        <v>1.6975675890069158E-4</v>
      </c>
      <c r="BV26" s="44">
        <v>1.6457495679907385E-4</v>
      </c>
      <c r="BW26" s="44">
        <v>1.6037955565100851E-4</v>
      </c>
      <c r="BX26" s="44">
        <v>1.5506301321740657E-4</v>
      </c>
      <c r="BY26" s="44">
        <v>3.2292353439808401E-5</v>
      </c>
      <c r="BZ26" s="44">
        <v>3.1791026982634152E-5</v>
      </c>
    </row>
    <row r="27" spans="1:78" x14ac:dyDescent="0.3">
      <c r="A27" s="24" t="s">
        <v>35</v>
      </c>
      <c r="B27" s="14">
        <v>96157.815000000002</v>
      </c>
      <c r="C27" s="14">
        <v>94151.6</v>
      </c>
      <c r="D27" s="14">
        <v>106703.8</v>
      </c>
      <c r="E27" s="14">
        <v>114496.789</v>
      </c>
      <c r="F27" s="14">
        <v>123191.20000000001</v>
      </c>
      <c r="G27" s="14">
        <v>123301.2</v>
      </c>
      <c r="H27" s="14">
        <v>123643</v>
      </c>
      <c r="I27" s="14">
        <v>121564.2</v>
      </c>
      <c r="J27" s="14">
        <v>126664.55</v>
      </c>
      <c r="K27" s="14">
        <v>136084.6</v>
      </c>
      <c r="L27" s="14">
        <v>140864.1</v>
      </c>
      <c r="M27" s="14">
        <v>147613</v>
      </c>
      <c r="N27" s="14">
        <v>144345.5</v>
      </c>
      <c r="O27" s="14">
        <v>148097.5</v>
      </c>
      <c r="P27" s="14">
        <v>152127.5</v>
      </c>
      <c r="Q27" s="14">
        <v>155681.60000000001</v>
      </c>
      <c r="R27" s="14">
        <v>157603.20000000001</v>
      </c>
      <c r="S27" s="14">
        <v>159873.79999999999</v>
      </c>
      <c r="T27" s="14">
        <v>161793</v>
      </c>
      <c r="U27" s="14">
        <v>168866</v>
      </c>
      <c r="V27" s="14">
        <v>169873</v>
      </c>
      <c r="W27" s="14">
        <v>174311</v>
      </c>
      <c r="X27" s="14">
        <v>175432</v>
      </c>
      <c r="Y27" s="14">
        <v>177038</v>
      </c>
      <c r="Z27" s="14">
        <v>180402</v>
      </c>
      <c r="AA27" s="14">
        <v>186692</v>
      </c>
      <c r="AB27" s="14">
        <v>194026</v>
      </c>
      <c r="AC27" s="14">
        <v>197306</v>
      </c>
      <c r="AD27" s="14">
        <v>202506</v>
      </c>
      <c r="AE27" s="14">
        <v>208606</v>
      </c>
      <c r="AF27" s="14">
        <v>214517.7</v>
      </c>
      <c r="AG27" s="14">
        <v>216875</v>
      </c>
      <c r="AH27" s="14">
        <v>224935.5</v>
      </c>
      <c r="AI27" s="14">
        <v>226779.28220440139</v>
      </c>
      <c r="AJ27" s="14">
        <v>232348</v>
      </c>
      <c r="AK27" s="14">
        <v>236475</v>
      </c>
      <c r="AL27" s="14">
        <v>244064.88342367101</v>
      </c>
      <c r="AM27" s="14">
        <v>251400.6462302584</v>
      </c>
      <c r="AN27" s="14">
        <v>254942</v>
      </c>
      <c r="AO27" s="14">
        <v>258043</v>
      </c>
      <c r="AP27" s="14">
        <v>264257</v>
      </c>
      <c r="AQ27" s="14">
        <v>265547</v>
      </c>
      <c r="AR27" s="14">
        <v>262278.2</v>
      </c>
      <c r="AS27" s="14">
        <v>261875</v>
      </c>
      <c r="AT27" s="14">
        <v>263944.7</v>
      </c>
      <c r="AU27" s="14">
        <v>270413</v>
      </c>
      <c r="AV27" s="14">
        <v>276888</v>
      </c>
      <c r="AW27" s="14">
        <v>278666.95</v>
      </c>
      <c r="AX27" s="14">
        <v>286695.59999999998</v>
      </c>
      <c r="AY27" s="14">
        <v>289604.5</v>
      </c>
      <c r="AZ27" s="14">
        <v>295923</v>
      </c>
      <c r="BA27" s="14">
        <v>297907.25</v>
      </c>
      <c r="BB27" s="14">
        <v>297198.8</v>
      </c>
      <c r="BC27" s="14">
        <v>348642.2</v>
      </c>
      <c r="BD27" s="14">
        <v>342735.95</v>
      </c>
      <c r="BE27" s="14">
        <v>334685.59999999998</v>
      </c>
      <c r="BF27" s="14">
        <v>359540.6</v>
      </c>
      <c r="BG27" s="14">
        <v>392669.3</v>
      </c>
      <c r="BH27" s="14">
        <v>404430.55</v>
      </c>
      <c r="BI27" s="14">
        <v>392993.15</v>
      </c>
      <c r="BJ27" s="14">
        <v>399952.67</v>
      </c>
      <c r="BK27" s="14">
        <v>411209.79</v>
      </c>
      <c r="BL27" s="14">
        <v>416564.67</v>
      </c>
      <c r="BM27" s="14">
        <v>428023.25</v>
      </c>
      <c r="BN27" s="14">
        <v>438480.9</v>
      </c>
      <c r="BO27" s="14">
        <v>448772.05000000005</v>
      </c>
      <c r="BP27" s="14">
        <v>451884.89</v>
      </c>
      <c r="BQ27" s="14">
        <v>466100.44000000006</v>
      </c>
      <c r="BR27" s="14">
        <v>478109.8</v>
      </c>
      <c r="BS27" s="14">
        <v>491852.3</v>
      </c>
      <c r="BT27" s="14">
        <v>522226</v>
      </c>
      <c r="BU27" s="14">
        <v>538066.69999999995</v>
      </c>
      <c r="BV27" s="14">
        <v>558283</v>
      </c>
      <c r="BW27" s="14">
        <v>570483</v>
      </c>
      <c r="BX27" s="14">
        <v>590977</v>
      </c>
      <c r="BY27" s="14">
        <v>598810</v>
      </c>
      <c r="BZ27" s="14">
        <v>610060.89624699997</v>
      </c>
    </row>
    <row r="28" spans="1:78" s="8" customFormat="1" ht="13.5" x14ac:dyDescent="0.35">
      <c r="A28" s="38" t="s">
        <v>30</v>
      </c>
      <c r="B28" s="43">
        <v>0.62552653148845649</v>
      </c>
      <c r="C28" s="43">
        <v>0.54949836875003655</v>
      </c>
      <c r="D28" s="43">
        <v>0.57580620790882409</v>
      </c>
      <c r="E28" s="43">
        <v>0.55716741282153603</v>
      </c>
      <c r="F28" s="43">
        <v>0.51703873450766591</v>
      </c>
      <c r="G28" s="43">
        <v>0.45421833211767565</v>
      </c>
      <c r="H28" s="43">
        <v>0.44415506972533747</v>
      </c>
      <c r="I28" s="43">
        <v>0.42766047267584623</v>
      </c>
      <c r="J28" s="43">
        <v>0.44402259645383607</v>
      </c>
      <c r="K28" s="43">
        <v>0.47443512820959788</v>
      </c>
      <c r="L28" s="43">
        <v>0.48910296696237915</v>
      </c>
      <c r="M28" s="22">
        <v>0.5059467500239927</v>
      </c>
      <c r="N28" s="22">
        <v>0.48946606353253941</v>
      </c>
      <c r="O28" s="22">
        <v>0.49710826469028391</v>
      </c>
      <c r="P28" s="22">
        <v>0.50323021349511421</v>
      </c>
      <c r="Q28" s="22">
        <v>0.50553360068841224</v>
      </c>
      <c r="R28" s="22">
        <v>0.50175483279423383</v>
      </c>
      <c r="S28" s="22">
        <v>0.49822460866286261</v>
      </c>
      <c r="T28" s="22">
        <v>0.49574857289933538</v>
      </c>
      <c r="U28" s="22">
        <v>0.51071384285960553</v>
      </c>
      <c r="V28" s="22">
        <v>0.50811042016253738</v>
      </c>
      <c r="W28" s="22">
        <v>0.51383251237335548</v>
      </c>
      <c r="X28" s="22">
        <v>0.51015322160863785</v>
      </c>
      <c r="Y28" s="22">
        <v>0.50489385245434115</v>
      </c>
      <c r="Z28" s="22">
        <v>0.50698216870178592</v>
      </c>
      <c r="AA28" s="22">
        <v>0.51662857047979061</v>
      </c>
      <c r="AB28" s="22">
        <v>0.52860486087840175</v>
      </c>
      <c r="AC28" s="22">
        <v>0.51683391878122065</v>
      </c>
      <c r="AD28" s="22">
        <v>0.52332676071625162</v>
      </c>
      <c r="AE28" s="22">
        <v>0.52946222804292431</v>
      </c>
      <c r="AF28" s="22">
        <v>0.53628218365086788</v>
      </c>
      <c r="AG28" s="22">
        <v>0.53530878214938049</v>
      </c>
      <c r="AH28" s="22">
        <v>0.54703543374109298</v>
      </c>
      <c r="AI28" s="22">
        <v>0.54514643664353679</v>
      </c>
      <c r="AJ28" s="22">
        <v>0.55105516053903547</v>
      </c>
      <c r="AK28" s="22">
        <v>0.55462782063339799</v>
      </c>
      <c r="AL28" s="22">
        <v>0.56385817521086157</v>
      </c>
      <c r="AM28" s="22">
        <v>0.57205677371334973</v>
      </c>
      <c r="AN28" s="22">
        <v>0.57173677081371044</v>
      </c>
      <c r="AO28" s="22">
        <v>0.5690886395313961</v>
      </c>
      <c r="AP28" s="22">
        <v>0.57559540145762811</v>
      </c>
      <c r="AQ28" s="22">
        <v>0.56960254999495918</v>
      </c>
      <c r="AR28" s="22">
        <v>0.55565178520356173</v>
      </c>
      <c r="AS28" s="22">
        <v>0.5464996890560242</v>
      </c>
      <c r="AT28" s="22">
        <v>0.54443814175684091</v>
      </c>
      <c r="AU28" s="22">
        <v>0.54859297940237883</v>
      </c>
      <c r="AV28" s="22">
        <v>0.55403307134510416</v>
      </c>
      <c r="AW28" s="22">
        <v>0.54901630300940751</v>
      </c>
      <c r="AX28" s="22">
        <v>0.5594628137879355</v>
      </c>
      <c r="AY28" s="22">
        <v>0.56223075564114855</v>
      </c>
      <c r="AZ28" s="22">
        <v>0.56978396487985217</v>
      </c>
      <c r="BA28" s="22">
        <v>0.57343008326949207</v>
      </c>
      <c r="BB28" s="22">
        <v>0.57385031559963928</v>
      </c>
      <c r="BC28" s="22">
        <v>0.72947923662940206</v>
      </c>
      <c r="BD28" s="22">
        <v>0.73807764615182525</v>
      </c>
      <c r="BE28" s="22">
        <v>0.73542566212032312</v>
      </c>
      <c r="BF28" s="22">
        <v>0.80546579565209597</v>
      </c>
      <c r="BG28" s="22">
        <v>0.84940221376671299</v>
      </c>
      <c r="BH28" s="22">
        <v>0.85926744697441304</v>
      </c>
      <c r="BI28" s="22">
        <v>0.81105102074510682</v>
      </c>
      <c r="BJ28" s="22">
        <v>0.79988614273257441</v>
      </c>
      <c r="BK28" s="22">
        <v>0.78273789944950767</v>
      </c>
      <c r="BL28" s="22">
        <v>0.76160544906720096</v>
      </c>
      <c r="BM28" s="22">
        <v>0.74885796615625788</v>
      </c>
      <c r="BN28" s="22">
        <v>0.7456143721942593</v>
      </c>
      <c r="BO28" s="22">
        <v>0.74107255796595284</v>
      </c>
      <c r="BP28" s="22">
        <v>0.72886893308020728</v>
      </c>
      <c r="BQ28" s="22">
        <v>0.73170035007299739</v>
      </c>
      <c r="BR28" s="22">
        <v>0.73483114292257301</v>
      </c>
      <c r="BS28" s="22">
        <v>0.73992460130608828</v>
      </c>
      <c r="BT28" s="22">
        <v>0.76830368111246949</v>
      </c>
      <c r="BU28" s="22">
        <v>0.77604468194044807</v>
      </c>
      <c r="BV28" s="22">
        <v>0.79206379833325291</v>
      </c>
      <c r="BW28" s="22">
        <v>0.79559834823003728</v>
      </c>
      <c r="BX28" s="22">
        <v>0.8109617200193211</v>
      </c>
      <c r="BY28" s="22">
        <v>0.80570767347048611</v>
      </c>
      <c r="BZ28" s="22">
        <v>0.80810260056826455</v>
      </c>
    </row>
    <row r="29" spans="1:78" x14ac:dyDescent="0.3">
      <c r="A29" s="35" t="s">
        <v>34</v>
      </c>
      <c r="B29" s="42">
        <v>72.400000000000006</v>
      </c>
      <c r="C29" s="42">
        <v>71</v>
      </c>
      <c r="D29" s="42">
        <v>45</v>
      </c>
      <c r="E29" s="42">
        <v>81.142105000000001</v>
      </c>
      <c r="F29" s="42">
        <v>93</v>
      </c>
      <c r="G29" s="42">
        <v>47.7</v>
      </c>
      <c r="H29" s="42">
        <v>46.8</v>
      </c>
      <c r="I29" s="42">
        <v>45.2</v>
      </c>
      <c r="J29" s="42">
        <v>44.7</v>
      </c>
      <c r="K29" s="42">
        <v>43.8</v>
      </c>
      <c r="L29" s="42">
        <v>4.5</v>
      </c>
      <c r="M29" s="42">
        <v>4.5</v>
      </c>
      <c r="N29" s="42">
        <v>4.5</v>
      </c>
      <c r="O29" s="42">
        <v>4</v>
      </c>
      <c r="P29" s="42">
        <v>4</v>
      </c>
      <c r="Q29" s="42">
        <v>3.5</v>
      </c>
      <c r="R29" s="42">
        <v>3.5</v>
      </c>
      <c r="S29" s="42">
        <v>3.5</v>
      </c>
      <c r="T29" s="42">
        <v>4</v>
      </c>
      <c r="U29" s="42">
        <v>3</v>
      </c>
      <c r="V29" s="42">
        <v>2</v>
      </c>
      <c r="W29" s="42">
        <v>2</v>
      </c>
      <c r="X29" s="42">
        <v>2</v>
      </c>
      <c r="Y29" s="42">
        <v>2</v>
      </c>
      <c r="Z29" s="42">
        <v>1</v>
      </c>
      <c r="AA29" s="42">
        <v>1</v>
      </c>
      <c r="AB29" s="42">
        <v>0</v>
      </c>
      <c r="AC29" s="42">
        <v>0</v>
      </c>
      <c r="AD29" s="42">
        <v>0</v>
      </c>
      <c r="AE29" s="42">
        <v>0</v>
      </c>
      <c r="AF29" s="42">
        <v>0</v>
      </c>
      <c r="AG29" s="35">
        <v>0</v>
      </c>
      <c r="AH29" s="35">
        <v>0</v>
      </c>
      <c r="AI29" s="35">
        <v>0</v>
      </c>
      <c r="AJ29" s="35">
        <v>0</v>
      </c>
      <c r="AK29" s="35">
        <v>0</v>
      </c>
      <c r="AL29" s="35">
        <v>0</v>
      </c>
      <c r="AM29" s="35">
        <v>0</v>
      </c>
      <c r="AN29" s="35">
        <v>0</v>
      </c>
      <c r="AO29" s="35">
        <v>0</v>
      </c>
      <c r="AP29" s="35">
        <v>0</v>
      </c>
      <c r="AQ29" s="35">
        <v>0</v>
      </c>
      <c r="AR29" s="35">
        <v>0</v>
      </c>
      <c r="AS29" s="35">
        <v>0</v>
      </c>
      <c r="AT29" s="35">
        <v>0</v>
      </c>
      <c r="AU29" s="35">
        <v>0</v>
      </c>
      <c r="AV29" s="35">
        <v>0</v>
      </c>
      <c r="AW29" s="35">
        <v>0</v>
      </c>
      <c r="AX29" s="35">
        <v>0</v>
      </c>
      <c r="AY29" s="35">
        <v>0</v>
      </c>
      <c r="AZ29" s="35">
        <v>0</v>
      </c>
      <c r="BA29" s="35">
        <v>0</v>
      </c>
      <c r="BB29" s="35">
        <v>0</v>
      </c>
      <c r="BC29" s="35">
        <v>0</v>
      </c>
      <c r="BD29" s="35">
        <v>0</v>
      </c>
      <c r="BE29" s="35">
        <v>0</v>
      </c>
      <c r="BF29" s="35">
        <v>0</v>
      </c>
      <c r="BG29" s="35">
        <v>0</v>
      </c>
      <c r="BH29" s="35">
        <v>0</v>
      </c>
      <c r="BI29" s="35">
        <v>0</v>
      </c>
      <c r="BJ29" s="35">
        <v>0</v>
      </c>
      <c r="BK29" s="35">
        <v>0</v>
      </c>
      <c r="BL29" s="35">
        <v>0</v>
      </c>
      <c r="BM29" s="35">
        <v>0</v>
      </c>
      <c r="BN29" s="35">
        <v>0</v>
      </c>
      <c r="BO29" s="35">
        <v>0</v>
      </c>
      <c r="BP29" s="35">
        <v>0</v>
      </c>
      <c r="BQ29" s="35">
        <v>0</v>
      </c>
      <c r="BR29" s="35">
        <v>0</v>
      </c>
      <c r="BS29" s="35">
        <v>0</v>
      </c>
      <c r="BT29" s="35">
        <v>0</v>
      </c>
      <c r="BU29" s="35">
        <v>0</v>
      </c>
      <c r="BV29" s="35">
        <v>0</v>
      </c>
      <c r="BW29" s="35">
        <v>0</v>
      </c>
      <c r="BX29" s="35">
        <v>0</v>
      </c>
      <c r="BY29" s="35">
        <v>0</v>
      </c>
      <c r="BZ29" s="35">
        <v>0</v>
      </c>
    </row>
    <row r="30" spans="1:78" ht="11" hidden="1" customHeight="1" x14ac:dyDescent="0.3">
      <c r="A30" s="41" t="s">
        <v>33</v>
      </c>
      <c r="B30" s="40">
        <v>7.4</v>
      </c>
      <c r="C30" s="40">
        <v>6</v>
      </c>
      <c r="D30" s="40">
        <v>14</v>
      </c>
      <c r="E30" s="40">
        <v>52.3</v>
      </c>
      <c r="F30" s="39">
        <v>41</v>
      </c>
      <c r="G30" s="40">
        <v>23.2</v>
      </c>
      <c r="H30" s="39">
        <v>22.8</v>
      </c>
      <c r="I30" s="39">
        <v>22.3</v>
      </c>
      <c r="J30" s="39">
        <v>22.3</v>
      </c>
      <c r="K30" s="39">
        <v>21.4</v>
      </c>
      <c r="L30" s="39">
        <v>0</v>
      </c>
      <c r="M30" s="39">
        <v>0</v>
      </c>
      <c r="N30" s="39">
        <v>0</v>
      </c>
      <c r="O30" s="39">
        <v>0</v>
      </c>
      <c r="P30" s="39">
        <v>0</v>
      </c>
      <c r="Q30" s="39">
        <v>0</v>
      </c>
      <c r="R30" s="39">
        <v>0</v>
      </c>
      <c r="S30" s="39">
        <v>0</v>
      </c>
      <c r="T30" s="30">
        <v>0</v>
      </c>
      <c r="U30" s="30">
        <v>0</v>
      </c>
      <c r="V30" s="30">
        <v>0</v>
      </c>
      <c r="W30" s="30">
        <v>0</v>
      </c>
      <c r="X30" s="30">
        <v>0</v>
      </c>
      <c r="Y30" s="30">
        <v>0</v>
      </c>
      <c r="Z30" s="30">
        <v>0</v>
      </c>
      <c r="AA30" s="30">
        <v>0</v>
      </c>
      <c r="AB30" s="30">
        <v>0</v>
      </c>
      <c r="AC30" s="30">
        <v>0</v>
      </c>
      <c r="AD30" s="30">
        <v>0</v>
      </c>
      <c r="AE30" s="30">
        <v>0</v>
      </c>
      <c r="AF30" s="30">
        <v>0</v>
      </c>
      <c r="AG30" s="30">
        <v>0</v>
      </c>
      <c r="AH30" s="30">
        <v>0</v>
      </c>
      <c r="AI30" s="30">
        <v>0</v>
      </c>
      <c r="AJ30" s="30">
        <v>0</v>
      </c>
      <c r="AK30" s="30">
        <v>0</v>
      </c>
      <c r="AL30" s="30">
        <v>0</v>
      </c>
      <c r="AM30" s="30">
        <v>0</v>
      </c>
      <c r="AN30" s="30">
        <v>0</v>
      </c>
      <c r="AO30" s="30">
        <v>0</v>
      </c>
      <c r="AP30" s="30">
        <v>0</v>
      </c>
      <c r="AQ30" s="30">
        <v>0</v>
      </c>
      <c r="AR30" s="30">
        <v>0</v>
      </c>
      <c r="AS30" s="30">
        <v>0</v>
      </c>
      <c r="AT30" s="30">
        <v>0</v>
      </c>
      <c r="AU30" s="30">
        <v>0</v>
      </c>
      <c r="AV30" s="30">
        <v>0</v>
      </c>
      <c r="AW30" s="30">
        <v>0</v>
      </c>
      <c r="AX30" s="30">
        <v>0</v>
      </c>
      <c r="AY30" s="30">
        <v>0</v>
      </c>
      <c r="AZ30" s="30">
        <v>0</v>
      </c>
      <c r="BA30" s="30">
        <v>0</v>
      </c>
      <c r="BB30" s="30">
        <v>0</v>
      </c>
      <c r="BC30" s="30">
        <v>0</v>
      </c>
      <c r="BD30" s="30">
        <v>0</v>
      </c>
      <c r="BE30" s="30">
        <v>0</v>
      </c>
      <c r="BF30" s="30">
        <v>0</v>
      </c>
      <c r="BG30" s="30">
        <v>0</v>
      </c>
      <c r="BH30" s="30">
        <v>0</v>
      </c>
      <c r="BI30" s="30">
        <v>0</v>
      </c>
      <c r="BJ30" s="30">
        <v>0</v>
      </c>
      <c r="BK30" s="30">
        <v>0</v>
      </c>
      <c r="BL30" s="30">
        <v>0</v>
      </c>
      <c r="BM30" s="30">
        <v>0</v>
      </c>
      <c r="BN30" s="30">
        <v>0</v>
      </c>
      <c r="BO30" s="30">
        <v>0</v>
      </c>
      <c r="BP30" s="30">
        <v>0</v>
      </c>
      <c r="BQ30" s="30">
        <v>0</v>
      </c>
      <c r="BR30" s="30">
        <v>0</v>
      </c>
      <c r="BS30" s="30">
        <v>0</v>
      </c>
      <c r="BT30" s="30">
        <v>0</v>
      </c>
      <c r="BU30" s="30">
        <v>0</v>
      </c>
      <c r="BV30" s="30">
        <v>0</v>
      </c>
      <c r="BW30" s="30">
        <v>0</v>
      </c>
      <c r="BX30" s="30">
        <v>0</v>
      </c>
      <c r="BY30" s="30">
        <v>0</v>
      </c>
      <c r="BZ30" s="30">
        <v>0</v>
      </c>
    </row>
    <row r="31" spans="1:78" ht="12.65" hidden="1" customHeight="1" x14ac:dyDescent="0.3">
      <c r="A31" s="41" t="s">
        <v>32</v>
      </c>
      <c r="B31" s="40">
        <v>65</v>
      </c>
      <c r="C31" s="40">
        <v>65</v>
      </c>
      <c r="D31" s="40">
        <v>31</v>
      </c>
      <c r="E31" s="40">
        <v>28.842105</v>
      </c>
      <c r="F31" s="39">
        <v>52</v>
      </c>
      <c r="G31" s="40">
        <v>24.5</v>
      </c>
      <c r="H31" s="39">
        <v>24</v>
      </c>
      <c r="I31" s="39">
        <v>22.9</v>
      </c>
      <c r="J31" s="39">
        <v>22.4</v>
      </c>
      <c r="K31" s="39">
        <v>22.4</v>
      </c>
      <c r="L31" s="39">
        <v>4.5</v>
      </c>
      <c r="M31" s="39">
        <v>4.5</v>
      </c>
      <c r="N31" s="39">
        <v>4.5</v>
      </c>
      <c r="O31" s="39">
        <v>4</v>
      </c>
      <c r="P31" s="39">
        <v>4</v>
      </c>
      <c r="Q31" s="39">
        <v>3.5</v>
      </c>
      <c r="R31" s="39">
        <v>3.5</v>
      </c>
      <c r="S31" s="39">
        <v>3.5</v>
      </c>
      <c r="T31" s="30">
        <v>4</v>
      </c>
      <c r="U31" s="30">
        <v>3</v>
      </c>
      <c r="V31" s="30">
        <v>2</v>
      </c>
      <c r="W31" s="30">
        <v>2</v>
      </c>
      <c r="X31" s="30">
        <v>2</v>
      </c>
      <c r="Y31" s="30">
        <v>2</v>
      </c>
      <c r="Z31" s="30">
        <v>1</v>
      </c>
      <c r="AA31" s="30">
        <v>1</v>
      </c>
      <c r="AB31" s="30">
        <v>0</v>
      </c>
      <c r="AC31" s="30">
        <v>0</v>
      </c>
      <c r="AD31" s="30">
        <v>0</v>
      </c>
      <c r="AE31" s="30">
        <v>0</v>
      </c>
      <c r="AF31" s="30">
        <v>0</v>
      </c>
      <c r="AG31" s="30">
        <v>0</v>
      </c>
      <c r="AH31" s="30">
        <v>0</v>
      </c>
      <c r="AI31" s="30">
        <v>0</v>
      </c>
      <c r="AJ31" s="30">
        <v>0</v>
      </c>
      <c r="AK31" s="30">
        <v>0</v>
      </c>
      <c r="AL31" s="30">
        <v>0</v>
      </c>
      <c r="AM31" s="30">
        <v>0</v>
      </c>
      <c r="AN31" s="30">
        <v>0</v>
      </c>
      <c r="AO31" s="30">
        <v>0</v>
      </c>
      <c r="AP31" s="30">
        <v>0</v>
      </c>
      <c r="AQ31" s="30">
        <v>0</v>
      </c>
      <c r="AR31" s="30">
        <v>0</v>
      </c>
      <c r="AS31" s="30">
        <v>0</v>
      </c>
      <c r="AT31" s="30">
        <v>0</v>
      </c>
      <c r="AU31" s="30">
        <v>0</v>
      </c>
      <c r="AV31" s="30">
        <v>0</v>
      </c>
      <c r="AW31" s="30">
        <v>0</v>
      </c>
      <c r="AX31" s="30">
        <v>0</v>
      </c>
      <c r="AY31" s="30">
        <v>0</v>
      </c>
      <c r="AZ31" s="30">
        <v>0</v>
      </c>
      <c r="BA31" s="30">
        <v>0</v>
      </c>
      <c r="BB31" s="30">
        <v>0</v>
      </c>
      <c r="BC31" s="30">
        <v>0</v>
      </c>
      <c r="BD31" s="30">
        <v>0</v>
      </c>
      <c r="BE31" s="30">
        <v>0</v>
      </c>
      <c r="BF31" s="30">
        <v>0</v>
      </c>
      <c r="BG31" s="30">
        <v>0</v>
      </c>
      <c r="BH31" s="30">
        <v>0</v>
      </c>
      <c r="BI31" s="30">
        <v>0</v>
      </c>
      <c r="BJ31" s="30">
        <v>0</v>
      </c>
      <c r="BK31" s="30">
        <v>0</v>
      </c>
      <c r="BL31" s="30">
        <v>0</v>
      </c>
      <c r="BM31" s="30">
        <v>0</v>
      </c>
      <c r="BN31" s="30">
        <v>0</v>
      </c>
      <c r="BO31" s="30">
        <v>0</v>
      </c>
      <c r="BP31" s="30">
        <v>0</v>
      </c>
      <c r="BQ31" s="30">
        <v>0</v>
      </c>
      <c r="BR31" s="30">
        <v>0</v>
      </c>
      <c r="BS31" s="30">
        <v>0</v>
      </c>
      <c r="BT31" s="30">
        <v>0</v>
      </c>
      <c r="BU31" s="30">
        <v>0</v>
      </c>
      <c r="BV31" s="30">
        <v>0</v>
      </c>
      <c r="BW31" s="30">
        <v>0</v>
      </c>
      <c r="BX31" s="30">
        <v>0</v>
      </c>
      <c r="BY31" s="30">
        <v>0</v>
      </c>
      <c r="BZ31" s="30">
        <v>0</v>
      </c>
    </row>
    <row r="32" spans="1:78" ht="12.65" hidden="1" customHeight="1" x14ac:dyDescent="0.3">
      <c r="A32" s="41" t="s">
        <v>31</v>
      </c>
      <c r="B32" s="40">
        <v>0</v>
      </c>
      <c r="C32" s="40">
        <v>0</v>
      </c>
      <c r="D32" s="40">
        <v>0</v>
      </c>
      <c r="E32" s="40">
        <v>0</v>
      </c>
      <c r="F32" s="39">
        <v>0</v>
      </c>
      <c r="G32" s="30">
        <v>0</v>
      </c>
      <c r="H32" s="30">
        <v>0</v>
      </c>
      <c r="I32" s="30">
        <v>0</v>
      </c>
      <c r="J32" s="30">
        <v>0</v>
      </c>
      <c r="K32" s="30">
        <v>0</v>
      </c>
      <c r="L32" s="30">
        <v>0</v>
      </c>
      <c r="M32" s="30">
        <v>0</v>
      </c>
      <c r="N32" s="30">
        <v>0</v>
      </c>
      <c r="O32" s="30">
        <v>0</v>
      </c>
      <c r="P32" s="30">
        <v>0</v>
      </c>
      <c r="Q32" s="30">
        <v>0</v>
      </c>
      <c r="R32" s="30">
        <v>0</v>
      </c>
      <c r="S32" s="30">
        <v>0</v>
      </c>
      <c r="T32" s="30">
        <v>0</v>
      </c>
      <c r="U32" s="30">
        <v>0</v>
      </c>
      <c r="V32" s="30">
        <v>0</v>
      </c>
      <c r="W32" s="30">
        <v>0</v>
      </c>
      <c r="X32" s="30">
        <v>0</v>
      </c>
      <c r="Y32" s="30">
        <v>0</v>
      </c>
      <c r="Z32" s="30">
        <v>0</v>
      </c>
      <c r="AA32" s="30">
        <v>0</v>
      </c>
      <c r="AB32" s="30">
        <v>0</v>
      </c>
      <c r="AC32" s="30">
        <v>0</v>
      </c>
      <c r="AD32" s="30">
        <v>0</v>
      </c>
      <c r="AE32" s="30">
        <v>0</v>
      </c>
      <c r="AF32" s="30">
        <v>0</v>
      </c>
      <c r="AG32" s="30">
        <v>0</v>
      </c>
      <c r="AH32" s="30">
        <v>0</v>
      </c>
      <c r="AI32" s="30">
        <v>0</v>
      </c>
      <c r="AJ32" s="30">
        <v>0</v>
      </c>
      <c r="AK32" s="30">
        <v>0</v>
      </c>
      <c r="AL32" s="30">
        <v>0</v>
      </c>
      <c r="AM32" s="30">
        <v>0</v>
      </c>
      <c r="AN32" s="30">
        <v>0</v>
      </c>
      <c r="AO32" s="30">
        <v>0</v>
      </c>
      <c r="AP32" s="30">
        <v>0</v>
      </c>
      <c r="AQ32" s="30">
        <v>0</v>
      </c>
      <c r="AR32" s="30">
        <v>0</v>
      </c>
      <c r="AS32" s="30">
        <v>0</v>
      </c>
      <c r="AT32" s="30">
        <v>0</v>
      </c>
      <c r="AU32" s="30">
        <v>0</v>
      </c>
      <c r="AV32" s="30">
        <v>0</v>
      </c>
      <c r="AW32" s="30">
        <v>0</v>
      </c>
      <c r="AX32" s="30">
        <v>0</v>
      </c>
      <c r="AY32" s="30">
        <v>0</v>
      </c>
      <c r="AZ32" s="30">
        <v>0</v>
      </c>
      <c r="BA32" s="30">
        <v>0</v>
      </c>
      <c r="BB32" s="30">
        <v>0</v>
      </c>
      <c r="BC32" s="30">
        <v>0</v>
      </c>
      <c r="BD32" s="30">
        <v>0</v>
      </c>
      <c r="BE32" s="30">
        <v>0</v>
      </c>
      <c r="BF32" s="30">
        <v>0</v>
      </c>
      <c r="BG32" s="30">
        <v>0</v>
      </c>
      <c r="BH32" s="30">
        <v>0</v>
      </c>
      <c r="BI32" s="30">
        <v>0</v>
      </c>
      <c r="BJ32" s="30">
        <v>0</v>
      </c>
      <c r="BK32" s="30">
        <v>0</v>
      </c>
      <c r="BL32" s="30">
        <v>0</v>
      </c>
      <c r="BM32" s="30">
        <v>0</v>
      </c>
      <c r="BN32" s="30">
        <v>0</v>
      </c>
      <c r="BO32" s="30">
        <v>0</v>
      </c>
      <c r="BP32" s="30">
        <v>0</v>
      </c>
      <c r="BQ32" s="30">
        <v>0</v>
      </c>
      <c r="BR32" s="30">
        <v>0</v>
      </c>
      <c r="BS32" s="30">
        <v>0</v>
      </c>
      <c r="BT32" s="30">
        <v>0</v>
      </c>
      <c r="BU32" s="30">
        <v>0</v>
      </c>
      <c r="BV32" s="30">
        <v>0</v>
      </c>
      <c r="BW32" s="30">
        <v>0</v>
      </c>
      <c r="BX32" s="30">
        <v>0</v>
      </c>
      <c r="BY32" s="30">
        <v>0</v>
      </c>
      <c r="BZ32" s="30">
        <v>0</v>
      </c>
    </row>
    <row r="33" spans="1:78" s="8" customFormat="1" ht="13.5" x14ac:dyDescent="0.35">
      <c r="A33" s="38" t="s">
        <v>30</v>
      </c>
      <c r="B33" s="37">
        <v>4.7097701710219035E-4</v>
      </c>
      <c r="C33" s="37">
        <v>4.1437834493787245E-4</v>
      </c>
      <c r="D33" s="37">
        <v>2.4283370747711966E-4</v>
      </c>
      <c r="E33" s="37">
        <v>3.948559353375702E-4</v>
      </c>
      <c r="F33" s="37">
        <v>3.9032497702119089E-4</v>
      </c>
      <c r="G33" s="37">
        <v>1.757177905974405E-4</v>
      </c>
      <c r="H33" s="37">
        <v>1.6811673336255019E-4</v>
      </c>
      <c r="I33" s="37">
        <v>1.5901271398115771E-4</v>
      </c>
      <c r="J33" s="37">
        <v>1.5669585579774668E-4</v>
      </c>
      <c r="K33" s="37">
        <v>1.5270103020900518E-4</v>
      </c>
      <c r="L33" s="37">
        <v>1.5624728737348309E-5</v>
      </c>
      <c r="M33" s="37">
        <v>1.5423847324476616E-5</v>
      </c>
      <c r="N33" s="37">
        <v>1.5259202994872909E-5</v>
      </c>
      <c r="O33" s="37">
        <v>1.3426513335884371E-5</v>
      </c>
      <c r="P33" s="37">
        <v>1.323180131127151E-5</v>
      </c>
      <c r="Q33" s="37">
        <v>1.1365296877790586E-5</v>
      </c>
      <c r="R33" s="37">
        <v>1.1142806204314495E-5</v>
      </c>
      <c r="S33" s="37">
        <v>1.0907266420889596E-5</v>
      </c>
      <c r="T33" s="37">
        <v>1.2256366416330382E-5</v>
      </c>
      <c r="U33" s="37">
        <v>9.0731202763067562E-6</v>
      </c>
      <c r="V33" s="37">
        <v>5.9822387332011262E-6</v>
      </c>
      <c r="W33" s="37">
        <v>5.8955833237530103E-6</v>
      </c>
      <c r="X33" s="36">
        <v>5.8159654066377616E-6</v>
      </c>
      <c r="Y33" s="36">
        <v>5.7037907393253554E-6</v>
      </c>
      <c r="Z33" s="36">
        <v>2.8102912866918658E-6</v>
      </c>
      <c r="AA33" s="36">
        <v>2.7672774970528495E-6</v>
      </c>
      <c r="AB33" s="36">
        <v>0</v>
      </c>
      <c r="AC33" s="36">
        <v>0</v>
      </c>
      <c r="AD33" s="36">
        <v>0</v>
      </c>
      <c r="AE33" s="36">
        <v>0</v>
      </c>
      <c r="AF33" s="36">
        <v>0</v>
      </c>
      <c r="AG33" s="36">
        <v>0</v>
      </c>
      <c r="AH33" s="36">
        <v>0</v>
      </c>
      <c r="AI33" s="36">
        <v>0</v>
      </c>
      <c r="AJ33" s="36">
        <v>0</v>
      </c>
      <c r="AK33" s="36">
        <v>0</v>
      </c>
      <c r="AL33" s="36">
        <v>0</v>
      </c>
      <c r="AM33" s="36">
        <v>0</v>
      </c>
      <c r="AN33" s="36">
        <v>0</v>
      </c>
      <c r="AO33" s="36">
        <v>0</v>
      </c>
      <c r="AP33" s="36">
        <v>0</v>
      </c>
      <c r="AQ33" s="36">
        <v>0</v>
      </c>
      <c r="AR33" s="36">
        <v>0</v>
      </c>
      <c r="AS33" s="36">
        <v>0</v>
      </c>
      <c r="AT33" s="36">
        <v>0</v>
      </c>
      <c r="AU33" s="36">
        <v>0</v>
      </c>
      <c r="AV33" s="36">
        <v>0</v>
      </c>
      <c r="AW33" s="36">
        <v>0</v>
      </c>
      <c r="AX33" s="36">
        <v>0</v>
      </c>
      <c r="AY33" s="36">
        <v>0</v>
      </c>
      <c r="AZ33" s="36">
        <v>0</v>
      </c>
      <c r="BA33" s="36">
        <v>0</v>
      </c>
      <c r="BB33" s="36">
        <v>0</v>
      </c>
      <c r="BC33" s="36">
        <v>0</v>
      </c>
      <c r="BD33" s="36">
        <v>0</v>
      </c>
      <c r="BE33" s="36">
        <v>0</v>
      </c>
      <c r="BF33" s="36">
        <v>0</v>
      </c>
      <c r="BG33" s="36">
        <v>0</v>
      </c>
      <c r="BH33" s="36">
        <v>0</v>
      </c>
      <c r="BI33" s="36">
        <v>0</v>
      </c>
      <c r="BJ33" s="36">
        <v>0</v>
      </c>
      <c r="BK33" s="36">
        <v>0</v>
      </c>
      <c r="BL33" s="36">
        <v>0</v>
      </c>
      <c r="BM33" s="36">
        <v>0</v>
      </c>
      <c r="BN33" s="36">
        <v>0</v>
      </c>
      <c r="BO33" s="36">
        <v>0</v>
      </c>
      <c r="BP33" s="36">
        <v>0</v>
      </c>
      <c r="BQ33" s="36">
        <v>0</v>
      </c>
      <c r="BR33" s="36">
        <v>0</v>
      </c>
      <c r="BS33" s="36">
        <v>0</v>
      </c>
      <c r="BT33" s="36">
        <v>0</v>
      </c>
      <c r="BU33" s="36">
        <v>0</v>
      </c>
      <c r="BV33" s="36">
        <v>0</v>
      </c>
      <c r="BW33" s="36">
        <v>0</v>
      </c>
      <c r="BX33" s="36">
        <v>0</v>
      </c>
      <c r="BY33" s="36">
        <v>0</v>
      </c>
      <c r="BZ33" s="36">
        <v>0</v>
      </c>
    </row>
    <row r="34" spans="1:78" x14ac:dyDescent="0.3">
      <c r="A34" s="35" t="s">
        <v>29</v>
      </c>
      <c r="B34" s="34">
        <v>0</v>
      </c>
      <c r="C34" s="34">
        <v>0</v>
      </c>
      <c r="D34" s="34">
        <v>0</v>
      </c>
      <c r="E34" s="34">
        <v>0</v>
      </c>
      <c r="F34" s="34">
        <v>0</v>
      </c>
      <c r="G34" s="24">
        <v>0</v>
      </c>
      <c r="H34" s="24">
        <v>0</v>
      </c>
      <c r="I34" s="24">
        <v>0</v>
      </c>
      <c r="J34" s="24">
        <v>0</v>
      </c>
      <c r="K34" s="24">
        <v>0</v>
      </c>
      <c r="L34" s="24">
        <v>0</v>
      </c>
      <c r="M34" s="24">
        <v>0</v>
      </c>
      <c r="N34" s="24">
        <v>0</v>
      </c>
      <c r="O34" s="24">
        <v>0</v>
      </c>
      <c r="P34" s="24">
        <v>0</v>
      </c>
      <c r="Q34" s="24">
        <v>0</v>
      </c>
      <c r="R34" s="24">
        <v>0</v>
      </c>
      <c r="S34" s="24">
        <v>0</v>
      </c>
      <c r="T34" s="24">
        <v>0</v>
      </c>
      <c r="U34" s="24">
        <v>0</v>
      </c>
      <c r="V34" s="24">
        <v>0</v>
      </c>
      <c r="W34" s="24">
        <v>0</v>
      </c>
      <c r="X34" s="24">
        <v>0</v>
      </c>
      <c r="Y34" s="24">
        <v>0</v>
      </c>
      <c r="Z34" s="24">
        <v>0</v>
      </c>
      <c r="AA34" s="24">
        <v>0</v>
      </c>
      <c r="AB34" s="24">
        <v>0</v>
      </c>
      <c r="AC34" s="24">
        <v>0</v>
      </c>
      <c r="AD34" s="24">
        <v>0</v>
      </c>
      <c r="AE34" s="24">
        <v>0</v>
      </c>
      <c r="AF34" s="24">
        <v>0</v>
      </c>
      <c r="AG34" s="24">
        <v>0</v>
      </c>
      <c r="AH34" s="24">
        <v>0</v>
      </c>
      <c r="AI34" s="24">
        <v>0</v>
      </c>
      <c r="AJ34" s="24">
        <v>0</v>
      </c>
      <c r="AK34" s="24">
        <v>0</v>
      </c>
      <c r="AL34" s="24">
        <v>0</v>
      </c>
      <c r="AM34" s="24">
        <v>0</v>
      </c>
      <c r="AN34" s="24">
        <v>0</v>
      </c>
      <c r="AO34" s="24">
        <v>0</v>
      </c>
      <c r="AP34" s="24">
        <v>0</v>
      </c>
      <c r="AQ34" s="24">
        <v>0</v>
      </c>
      <c r="AR34" s="24">
        <v>0</v>
      </c>
      <c r="AS34" s="24">
        <v>0</v>
      </c>
      <c r="AT34" s="24">
        <v>0</v>
      </c>
      <c r="AU34" s="24">
        <v>0</v>
      </c>
      <c r="AV34" s="24">
        <v>0</v>
      </c>
      <c r="AW34" s="24">
        <v>0</v>
      </c>
      <c r="AX34" s="24">
        <v>0</v>
      </c>
      <c r="AY34" s="24">
        <v>0</v>
      </c>
      <c r="AZ34" s="24">
        <v>0</v>
      </c>
      <c r="BA34" s="24">
        <v>0</v>
      </c>
      <c r="BB34" s="24">
        <v>0</v>
      </c>
      <c r="BC34" s="24">
        <v>0</v>
      </c>
      <c r="BD34" s="24">
        <v>0</v>
      </c>
      <c r="BE34" s="24">
        <v>0</v>
      </c>
      <c r="BF34" s="24">
        <v>0</v>
      </c>
      <c r="BG34" s="24">
        <v>0</v>
      </c>
      <c r="BH34" s="24">
        <v>0</v>
      </c>
      <c r="BI34" s="24">
        <v>0</v>
      </c>
      <c r="BJ34" s="24">
        <v>0</v>
      </c>
      <c r="BK34" s="24">
        <v>0</v>
      </c>
      <c r="BL34" s="24">
        <v>0</v>
      </c>
      <c r="BM34" s="24">
        <v>0</v>
      </c>
      <c r="BN34" s="24">
        <v>0</v>
      </c>
      <c r="BO34" s="24">
        <v>0</v>
      </c>
      <c r="BP34" s="24">
        <v>0</v>
      </c>
      <c r="BQ34" s="24">
        <v>0</v>
      </c>
      <c r="BR34" s="24">
        <v>0</v>
      </c>
      <c r="BS34" s="24">
        <v>0</v>
      </c>
      <c r="BT34" s="24">
        <v>0</v>
      </c>
      <c r="BU34" s="24">
        <v>0</v>
      </c>
      <c r="BV34" s="24">
        <v>0</v>
      </c>
      <c r="BW34" s="24">
        <v>0</v>
      </c>
      <c r="BX34" s="24">
        <v>0</v>
      </c>
      <c r="BY34" s="24">
        <v>0</v>
      </c>
      <c r="BZ34" s="24">
        <v>0</v>
      </c>
    </row>
    <row r="35" spans="1:78" x14ac:dyDescent="0.3">
      <c r="A35" s="24" t="s">
        <v>28</v>
      </c>
      <c r="B35" s="34">
        <v>96230.214999999997</v>
      </c>
      <c r="C35" s="34">
        <v>94222.6</v>
      </c>
      <c r="D35" s="34">
        <v>106748.8</v>
      </c>
      <c r="E35" s="34">
        <v>114577.93110500001</v>
      </c>
      <c r="F35" s="34">
        <v>123284.20000000001</v>
      </c>
      <c r="G35" s="34">
        <v>123348.9</v>
      </c>
      <c r="H35" s="34">
        <v>123689.8</v>
      </c>
      <c r="I35" s="34">
        <v>121609.4</v>
      </c>
      <c r="J35" s="34">
        <v>126709.25</v>
      </c>
      <c r="K35" s="34">
        <v>136128.4</v>
      </c>
      <c r="L35" s="34">
        <v>140868.6</v>
      </c>
      <c r="M35" s="34">
        <v>147617.5</v>
      </c>
      <c r="N35" s="34">
        <v>144350</v>
      </c>
      <c r="O35" s="34">
        <v>148101.5</v>
      </c>
      <c r="P35" s="34">
        <v>152131.5</v>
      </c>
      <c r="Q35" s="34">
        <v>155685.1</v>
      </c>
      <c r="R35" s="34">
        <v>157606.70000000001</v>
      </c>
      <c r="S35" s="34">
        <v>159877.29999999999</v>
      </c>
      <c r="T35" s="34">
        <v>161797</v>
      </c>
      <c r="U35" s="34">
        <v>168869</v>
      </c>
      <c r="V35" s="34">
        <v>169875</v>
      </c>
      <c r="W35" s="34">
        <v>174313</v>
      </c>
      <c r="X35" s="34">
        <v>175434</v>
      </c>
      <c r="Y35" s="34">
        <v>177040</v>
      </c>
      <c r="Z35" s="34">
        <v>180403</v>
      </c>
      <c r="AA35" s="34">
        <v>186693</v>
      </c>
      <c r="AB35" s="34">
        <v>194026</v>
      </c>
      <c r="AC35" s="34">
        <v>197306</v>
      </c>
      <c r="AD35" s="34">
        <v>202506</v>
      </c>
      <c r="AE35" s="34">
        <v>208606</v>
      </c>
      <c r="AF35" s="34">
        <v>214517.7</v>
      </c>
      <c r="AG35" s="34">
        <v>216875</v>
      </c>
      <c r="AH35" s="34">
        <v>224935.5</v>
      </c>
      <c r="AI35" s="34">
        <v>226779.28220440139</v>
      </c>
      <c r="AJ35" s="34">
        <v>232348</v>
      </c>
      <c r="AK35" s="34">
        <v>236475</v>
      </c>
      <c r="AL35" s="34">
        <v>244064.88342367101</v>
      </c>
      <c r="AM35" s="34">
        <v>251400.6462302584</v>
      </c>
      <c r="AN35" s="34">
        <v>254942</v>
      </c>
      <c r="AO35" s="34">
        <v>258043</v>
      </c>
      <c r="AP35" s="34">
        <v>264257</v>
      </c>
      <c r="AQ35" s="34">
        <v>265547</v>
      </c>
      <c r="AR35" s="34">
        <v>262278.2</v>
      </c>
      <c r="AS35" s="34">
        <v>261875</v>
      </c>
      <c r="AT35" s="34">
        <v>263944.7</v>
      </c>
      <c r="AU35" s="34">
        <v>270413</v>
      </c>
      <c r="AV35" s="34">
        <v>276888</v>
      </c>
      <c r="AW35" s="34">
        <v>278666.95</v>
      </c>
      <c r="AX35" s="34">
        <v>286695.59999999998</v>
      </c>
      <c r="AY35" s="34">
        <v>289604.5</v>
      </c>
      <c r="AZ35" s="34">
        <v>295923</v>
      </c>
      <c r="BA35" s="34">
        <v>297907.25</v>
      </c>
      <c r="BB35" s="34">
        <v>297198.8</v>
      </c>
      <c r="BC35" s="34">
        <v>348642.2</v>
      </c>
      <c r="BD35" s="34">
        <v>342735.95</v>
      </c>
      <c r="BE35" s="34">
        <v>334685.59999999998</v>
      </c>
      <c r="BF35" s="34">
        <v>359540.6</v>
      </c>
      <c r="BG35" s="34">
        <v>392669.3</v>
      </c>
      <c r="BH35" s="34">
        <v>404430.55</v>
      </c>
      <c r="BI35" s="34">
        <v>392993.15</v>
      </c>
      <c r="BJ35" s="34">
        <v>399952.67</v>
      </c>
      <c r="BK35" s="34">
        <v>411209.79</v>
      </c>
      <c r="BL35" s="34">
        <v>416564.67</v>
      </c>
      <c r="BM35" s="34">
        <v>428023.25</v>
      </c>
      <c r="BN35" s="34">
        <v>438480.9</v>
      </c>
      <c r="BO35" s="34">
        <v>448772.05000000005</v>
      </c>
      <c r="BP35" s="34">
        <v>451884.89</v>
      </c>
      <c r="BQ35" s="34">
        <v>466100.44000000006</v>
      </c>
      <c r="BR35" s="34">
        <v>478109.8</v>
      </c>
      <c r="BS35" s="34">
        <v>491852.3</v>
      </c>
      <c r="BT35" s="34">
        <v>522226</v>
      </c>
      <c r="BU35" s="34">
        <v>538066.69999999995</v>
      </c>
      <c r="BV35" s="34">
        <v>558283</v>
      </c>
      <c r="BW35" s="34">
        <v>570483</v>
      </c>
      <c r="BX35" s="34">
        <v>590977</v>
      </c>
      <c r="BY35" s="34">
        <v>598810</v>
      </c>
      <c r="BZ35" s="34">
        <v>610060.89624699997</v>
      </c>
    </row>
    <row r="36" spans="1:78" s="8" customFormat="1" ht="13.5" x14ac:dyDescent="0.35">
      <c r="A36" s="23" t="s">
        <v>27</v>
      </c>
      <c r="B36" s="22">
        <v>0.62599750850555869</v>
      </c>
      <c r="C36" s="22">
        <v>0.5499127470949744</v>
      </c>
      <c r="D36" s="22">
        <v>0.57604904161630122</v>
      </c>
      <c r="E36" s="22">
        <v>0.55756226875687365</v>
      </c>
      <c r="F36" s="22">
        <v>0.51742905948468709</v>
      </c>
      <c r="G36" s="22">
        <v>0.45439404990827309</v>
      </c>
      <c r="H36" s="22">
        <v>0.44432318645870006</v>
      </c>
      <c r="I36" s="22">
        <v>0.42781948538982739</v>
      </c>
      <c r="J36" s="22">
        <v>0.44417929230963382</v>
      </c>
      <c r="K36" s="22">
        <v>0.47458782923980686</v>
      </c>
      <c r="L36" s="22">
        <v>0.48911859169111649</v>
      </c>
      <c r="M36" s="22">
        <v>0.50596217387131714</v>
      </c>
      <c r="N36" s="22">
        <v>0.4894813227355343</v>
      </c>
      <c r="O36" s="22">
        <v>0.49712169120361976</v>
      </c>
      <c r="P36" s="22">
        <v>0.5032434452964254</v>
      </c>
      <c r="Q36" s="22">
        <v>0.50554496598529008</v>
      </c>
      <c r="R36" s="22">
        <v>0.50176597560043812</v>
      </c>
      <c r="S36" s="22">
        <v>0.4982355159292835</v>
      </c>
      <c r="T36" s="22">
        <v>0.49576082926575171</v>
      </c>
      <c r="U36" s="22">
        <v>0.51072291597988184</v>
      </c>
      <c r="V36" s="22">
        <v>0.50811640240127065</v>
      </c>
      <c r="W36" s="22">
        <v>0.51383840795667923</v>
      </c>
      <c r="X36" s="22">
        <v>0.51015903757404446</v>
      </c>
      <c r="Y36" s="22">
        <v>0.50489955624508043</v>
      </c>
      <c r="Z36" s="22">
        <v>0.5069849789930726</v>
      </c>
      <c r="AA36" s="22">
        <v>0.51663133775728765</v>
      </c>
      <c r="AB36" s="22">
        <v>0.52860486087840175</v>
      </c>
      <c r="AC36" s="22">
        <v>0.51683391878122065</v>
      </c>
      <c r="AD36" s="22">
        <v>0.52332676071625162</v>
      </c>
      <c r="AE36" s="22">
        <v>0.52946222804292431</v>
      </c>
      <c r="AF36" s="22">
        <v>0.53628218365086788</v>
      </c>
      <c r="AG36" s="22">
        <v>0.53530878214938049</v>
      </c>
      <c r="AH36" s="22">
        <v>0.54703543374109298</v>
      </c>
      <c r="AI36" s="22">
        <v>0.54514643664353679</v>
      </c>
      <c r="AJ36" s="22">
        <v>0.55105516053903547</v>
      </c>
      <c r="AK36" s="22">
        <v>0.55462782063339799</v>
      </c>
      <c r="AL36" s="22">
        <v>0.56385817521086157</v>
      </c>
      <c r="AM36" s="22">
        <v>0.57205677371334973</v>
      </c>
      <c r="AN36" s="22">
        <v>0.57173677081371044</v>
      </c>
      <c r="AO36" s="22">
        <v>0.5690886395313961</v>
      </c>
      <c r="AP36" s="22">
        <v>0.57559540145762811</v>
      </c>
      <c r="AQ36" s="22">
        <v>0.56960254999495918</v>
      </c>
      <c r="AR36" s="22">
        <v>0.55565178520356173</v>
      </c>
      <c r="AS36" s="22">
        <v>0.5464996890560242</v>
      </c>
      <c r="AT36" s="22">
        <v>0.54443814175684091</v>
      </c>
      <c r="AU36" s="22">
        <v>0.54859297940237883</v>
      </c>
      <c r="AV36" s="22">
        <v>0.55403307134510416</v>
      </c>
      <c r="AW36" s="22">
        <v>0.54901630300940751</v>
      </c>
      <c r="AX36" s="22">
        <v>0.5594628137879355</v>
      </c>
      <c r="AY36" s="22">
        <v>0.56223075564114855</v>
      </c>
      <c r="AZ36" s="22">
        <v>0.56978396487985217</v>
      </c>
      <c r="BA36" s="22">
        <v>0.57343008326949207</v>
      </c>
      <c r="BB36" s="22">
        <v>0.57385031559963928</v>
      </c>
      <c r="BC36" s="22">
        <v>0.72947923662940206</v>
      </c>
      <c r="BD36" s="22">
        <v>0.73807764615182525</v>
      </c>
      <c r="BE36" s="22">
        <v>0.73542566212032312</v>
      </c>
      <c r="BF36" s="22">
        <v>0.80546579565209597</v>
      </c>
      <c r="BG36" s="22">
        <v>0.84940221376671299</v>
      </c>
      <c r="BH36" s="22">
        <v>0.85926744697441304</v>
      </c>
      <c r="BI36" s="22">
        <v>0.81105102074510682</v>
      </c>
      <c r="BJ36" s="22">
        <v>0.79988614273257441</v>
      </c>
      <c r="BK36" s="22">
        <v>0.78273789944950767</v>
      </c>
      <c r="BL36" s="22">
        <v>0.76160544906720096</v>
      </c>
      <c r="BM36" s="22">
        <v>0.74885796615625788</v>
      </c>
      <c r="BN36" s="22">
        <v>0.7456143721942593</v>
      </c>
      <c r="BO36" s="22">
        <v>0.74107255796595284</v>
      </c>
      <c r="BP36" s="22">
        <v>0.72886893308020728</v>
      </c>
      <c r="BQ36" s="22">
        <v>0.73170035007299739</v>
      </c>
      <c r="BR36" s="22">
        <v>0.73483114292257301</v>
      </c>
      <c r="BS36" s="22">
        <v>0.73992460130608828</v>
      </c>
      <c r="BT36" s="22">
        <v>0.76830368111246949</v>
      </c>
      <c r="BU36" s="22">
        <v>0.77604468194044807</v>
      </c>
      <c r="BV36" s="22">
        <v>0.79206379833325291</v>
      </c>
      <c r="BW36" s="22">
        <v>0.79559834823003728</v>
      </c>
      <c r="BX36" s="22">
        <v>0.8109617200193211</v>
      </c>
      <c r="BY36" s="22">
        <v>0.80570767347048611</v>
      </c>
      <c r="BZ36" s="22">
        <v>0.80810260056826455</v>
      </c>
    </row>
    <row r="37" spans="1:78" ht="15" x14ac:dyDescent="0.3">
      <c r="A37" s="24" t="s">
        <v>26</v>
      </c>
      <c r="B37" s="34">
        <v>25649.7</v>
      </c>
      <c r="C37" s="34">
        <v>23528</v>
      </c>
      <c r="D37" s="34">
        <v>22412</v>
      </c>
      <c r="E37" s="34">
        <v>25099.3</v>
      </c>
      <c r="F37" s="34">
        <v>21687</v>
      </c>
      <c r="G37" s="34">
        <v>19619.2</v>
      </c>
      <c r="H37" s="34">
        <v>19423</v>
      </c>
      <c r="I37" s="34">
        <v>21621.5</v>
      </c>
      <c r="J37" s="34">
        <v>23388.7</v>
      </c>
      <c r="K37" s="34">
        <v>24268</v>
      </c>
      <c r="L37" s="34">
        <v>23233</v>
      </c>
      <c r="M37" s="34">
        <v>25142.7</v>
      </c>
      <c r="N37" s="34">
        <v>24824.7</v>
      </c>
      <c r="O37" s="34">
        <v>22930</v>
      </c>
      <c r="P37" s="34">
        <v>23946.1</v>
      </c>
      <c r="Q37" s="34">
        <v>20330</v>
      </c>
      <c r="R37" s="34">
        <v>19267</v>
      </c>
      <c r="S37" s="34">
        <v>18215</v>
      </c>
      <c r="T37" s="34">
        <v>18932</v>
      </c>
      <c r="U37" s="34">
        <v>20702</v>
      </c>
      <c r="V37" s="34">
        <v>22044</v>
      </c>
      <c r="W37" s="34">
        <v>21210</v>
      </c>
      <c r="X37" s="34">
        <v>21663</v>
      </c>
      <c r="Y37" s="34">
        <v>22018</v>
      </c>
      <c r="Z37" s="34">
        <v>22423</v>
      </c>
      <c r="AA37" s="34">
        <v>21169</v>
      </c>
      <c r="AB37" s="34">
        <v>20622</v>
      </c>
      <c r="AC37" s="34">
        <v>22631</v>
      </c>
      <c r="AD37" s="34">
        <v>21879</v>
      </c>
      <c r="AE37" s="34">
        <v>20275</v>
      </c>
      <c r="AF37" s="34">
        <v>20243</v>
      </c>
      <c r="AG37" s="34">
        <v>21158</v>
      </c>
      <c r="AH37" s="34">
        <v>21941</v>
      </c>
      <c r="AI37" s="34">
        <v>25125</v>
      </c>
      <c r="AJ37" s="34">
        <v>24768</v>
      </c>
      <c r="AK37" s="34">
        <v>24206</v>
      </c>
      <c r="AL37" s="34">
        <v>22993</v>
      </c>
      <c r="AM37" s="34">
        <v>22996</v>
      </c>
      <c r="AN37" s="34">
        <v>22748</v>
      </c>
      <c r="AO37" s="34">
        <v>21980</v>
      </c>
      <c r="AP37" s="34">
        <v>24468</v>
      </c>
      <c r="AQ37" s="34">
        <v>24556</v>
      </c>
      <c r="AR37" s="34">
        <v>30223</v>
      </c>
      <c r="AS37" s="34">
        <v>29574</v>
      </c>
      <c r="AT37" s="34">
        <v>29458</v>
      </c>
      <c r="AU37" s="34">
        <v>29751</v>
      </c>
      <c r="AV37" s="34">
        <v>30387</v>
      </c>
      <c r="AW37" s="34">
        <v>37193</v>
      </c>
      <c r="AX37" s="34">
        <v>35893</v>
      </c>
      <c r="AY37" s="34">
        <v>35594</v>
      </c>
      <c r="AZ37" s="34">
        <v>35367.599999999999</v>
      </c>
      <c r="BA37" s="34">
        <v>33927</v>
      </c>
      <c r="BB37" s="34">
        <v>37300</v>
      </c>
      <c r="BC37" s="34">
        <v>38536</v>
      </c>
      <c r="BD37" s="34">
        <v>32611</v>
      </c>
      <c r="BE37" s="34">
        <v>34219</v>
      </c>
      <c r="BF37" s="34">
        <v>36599</v>
      </c>
      <c r="BG37" s="34">
        <v>39506.6</v>
      </c>
      <c r="BH37" s="34">
        <v>39938.699999999997</v>
      </c>
      <c r="BI37" s="34">
        <v>40075.770000000004</v>
      </c>
      <c r="BJ37" s="34">
        <v>46104.53</v>
      </c>
      <c r="BK37" s="34">
        <v>53239.7</v>
      </c>
      <c r="BL37" s="34">
        <v>58498</v>
      </c>
      <c r="BM37" s="34">
        <v>61952.800000000003</v>
      </c>
      <c r="BN37" s="34">
        <v>61242</v>
      </c>
      <c r="BO37" s="34">
        <v>64624</v>
      </c>
      <c r="BP37" s="34">
        <v>62477</v>
      </c>
      <c r="BQ37" s="34">
        <v>60429.9</v>
      </c>
      <c r="BR37" s="34">
        <v>61243.5</v>
      </c>
      <c r="BS37" s="34">
        <v>67101</v>
      </c>
      <c r="BT37" s="34">
        <v>64131</v>
      </c>
      <c r="BU37" s="34">
        <v>70187</v>
      </c>
      <c r="BV37" s="34">
        <v>69959</v>
      </c>
      <c r="BW37" s="34">
        <v>64248.33</v>
      </c>
      <c r="BX37" s="34">
        <v>63562</v>
      </c>
      <c r="BY37" s="34">
        <v>62283.78</v>
      </c>
      <c r="BZ37" s="34">
        <v>65344.9</v>
      </c>
    </row>
    <row r="38" spans="1:78" x14ac:dyDescent="0.3">
      <c r="A38" s="33" t="s">
        <v>25</v>
      </c>
      <c r="B38" s="19">
        <v>5776</v>
      </c>
      <c r="C38" s="19">
        <v>5829</v>
      </c>
      <c r="D38" s="19">
        <v>6535</v>
      </c>
      <c r="E38" s="19">
        <v>9010</v>
      </c>
      <c r="F38" s="19">
        <v>6850</v>
      </c>
      <c r="G38" s="19">
        <v>6446.9</v>
      </c>
      <c r="H38" s="19">
        <v>6128.2999999999993</v>
      </c>
      <c r="I38" s="19">
        <v>6794</v>
      </c>
      <c r="J38" s="19">
        <v>8548</v>
      </c>
      <c r="K38" s="19">
        <v>8755</v>
      </c>
      <c r="L38" s="19">
        <v>7473</v>
      </c>
      <c r="M38" s="19">
        <v>6842</v>
      </c>
      <c r="N38" s="19">
        <v>5177</v>
      </c>
      <c r="O38" s="19">
        <v>4450</v>
      </c>
      <c r="P38" s="19">
        <v>4855.5</v>
      </c>
      <c r="Q38" s="19">
        <v>5816</v>
      </c>
      <c r="R38" s="19">
        <v>5386</v>
      </c>
      <c r="S38" s="19">
        <v>4901</v>
      </c>
      <c r="T38" s="19">
        <v>4723</v>
      </c>
      <c r="U38" s="19">
        <v>4423</v>
      </c>
      <c r="V38" s="19">
        <v>4556</v>
      </c>
      <c r="W38" s="19">
        <v>4376</v>
      </c>
      <c r="X38" s="19">
        <v>4355</v>
      </c>
      <c r="Y38" s="19">
        <v>4519</v>
      </c>
      <c r="Z38" s="19">
        <v>4372</v>
      </c>
      <c r="AA38" s="19">
        <v>4143</v>
      </c>
      <c r="AB38" s="19">
        <v>4011</v>
      </c>
      <c r="AC38" s="19">
        <v>3862</v>
      </c>
      <c r="AD38" s="19">
        <v>3738</v>
      </c>
      <c r="AE38" s="19">
        <v>3495</v>
      </c>
      <c r="AF38" s="19">
        <v>3333</v>
      </c>
      <c r="AG38" s="19">
        <v>3075</v>
      </c>
      <c r="AH38" s="19">
        <v>2968</v>
      </c>
      <c r="AI38" s="19">
        <v>6230</v>
      </c>
      <c r="AJ38" s="19">
        <v>5932</v>
      </c>
      <c r="AK38" s="19">
        <v>5463</v>
      </c>
      <c r="AL38" s="19">
        <v>5376</v>
      </c>
      <c r="AM38" s="19">
        <v>5065</v>
      </c>
      <c r="AN38" s="19">
        <v>5035</v>
      </c>
      <c r="AO38" s="19">
        <v>4326</v>
      </c>
      <c r="AP38" s="19">
        <v>7430</v>
      </c>
      <c r="AQ38" s="19">
        <v>7427</v>
      </c>
      <c r="AR38" s="19">
        <v>13844</v>
      </c>
      <c r="AS38" s="19">
        <v>13770</v>
      </c>
      <c r="AT38" s="19">
        <v>13764</v>
      </c>
      <c r="AU38" s="19">
        <v>14003</v>
      </c>
      <c r="AV38" s="19">
        <v>14085</v>
      </c>
      <c r="AW38" s="19">
        <v>17375</v>
      </c>
      <c r="AX38" s="19">
        <v>17467</v>
      </c>
      <c r="AY38" s="19">
        <v>17670</v>
      </c>
      <c r="AZ38" s="19">
        <v>17606</v>
      </c>
      <c r="BA38" s="19">
        <v>14141</v>
      </c>
      <c r="BB38" s="19">
        <v>14211</v>
      </c>
      <c r="BC38" s="19">
        <v>14189</v>
      </c>
      <c r="BD38" s="19">
        <v>7804</v>
      </c>
      <c r="BE38" s="19">
        <v>7848</v>
      </c>
      <c r="BF38" s="19">
        <v>7863</v>
      </c>
      <c r="BG38" s="19">
        <v>7851.8</v>
      </c>
      <c r="BH38" s="19">
        <v>7867</v>
      </c>
      <c r="BI38" s="19">
        <v>7834</v>
      </c>
      <c r="BJ38" s="19">
        <v>7951.54</v>
      </c>
      <c r="BK38" s="19">
        <v>7770.4</v>
      </c>
      <c r="BL38" s="19">
        <v>7847</v>
      </c>
      <c r="BM38" s="19">
        <v>7998</v>
      </c>
      <c r="BN38" s="19">
        <v>8090</v>
      </c>
      <c r="BO38" s="19">
        <v>7633</v>
      </c>
      <c r="BP38" s="19">
        <v>7680</v>
      </c>
      <c r="BQ38" s="19">
        <v>7789</v>
      </c>
      <c r="BR38" s="19">
        <v>7824</v>
      </c>
      <c r="BS38" s="19">
        <v>7900.5</v>
      </c>
      <c r="BT38" s="19">
        <v>7886</v>
      </c>
      <c r="BU38" s="19">
        <v>7879</v>
      </c>
      <c r="BV38" s="19">
        <v>7864</v>
      </c>
      <c r="BW38" s="19">
        <v>5357</v>
      </c>
      <c r="BX38" s="19">
        <v>5349</v>
      </c>
      <c r="BY38" s="19">
        <v>4831</v>
      </c>
      <c r="BZ38" s="47">
        <v>4822.07</v>
      </c>
    </row>
    <row r="39" spans="1:78" x14ac:dyDescent="0.3">
      <c r="A39" s="33" t="s">
        <v>24</v>
      </c>
      <c r="B39" s="19">
        <v>2539.7000000000003</v>
      </c>
      <c r="C39" s="19">
        <v>2848</v>
      </c>
      <c r="D39" s="19">
        <v>2519</v>
      </c>
      <c r="E39" s="19">
        <v>3150</v>
      </c>
      <c r="F39" s="19">
        <v>3817</v>
      </c>
      <c r="G39" s="19">
        <v>4961</v>
      </c>
      <c r="H39" s="19">
        <v>5399.0000000000009</v>
      </c>
      <c r="I39" s="19">
        <v>6665.7000000000007</v>
      </c>
      <c r="J39" s="19">
        <v>6862.0999999999995</v>
      </c>
      <c r="K39" s="19">
        <v>7684</v>
      </c>
      <c r="L39" s="19">
        <v>8080</v>
      </c>
      <c r="M39" s="19">
        <v>8669.7000000000007</v>
      </c>
      <c r="N39" s="19">
        <v>8783.7000000000007</v>
      </c>
      <c r="O39" s="19">
        <v>8730</v>
      </c>
      <c r="P39" s="19">
        <v>9693.6</v>
      </c>
      <c r="Q39" s="19">
        <v>5823</v>
      </c>
      <c r="R39" s="19">
        <v>5691</v>
      </c>
      <c r="S39" s="19">
        <v>5781</v>
      </c>
      <c r="T39" s="19">
        <v>5961</v>
      </c>
      <c r="U39" s="19">
        <v>5106</v>
      </c>
      <c r="V39" s="19">
        <v>6370</v>
      </c>
      <c r="W39" s="19">
        <v>5957</v>
      </c>
      <c r="X39" s="19">
        <v>6171</v>
      </c>
      <c r="Y39" s="19">
        <v>6611</v>
      </c>
      <c r="Z39" s="19">
        <v>7079</v>
      </c>
      <c r="AA39" s="19">
        <v>6032</v>
      </c>
      <c r="AB39" s="19">
        <v>5783</v>
      </c>
      <c r="AC39" s="19">
        <v>8200</v>
      </c>
      <c r="AD39" s="19">
        <v>7213</v>
      </c>
      <c r="AE39" s="19">
        <v>5942</v>
      </c>
      <c r="AF39" s="19">
        <v>5962</v>
      </c>
      <c r="AG39" s="19">
        <v>6789</v>
      </c>
      <c r="AH39" s="19">
        <v>6437</v>
      </c>
      <c r="AI39" s="19">
        <v>6277</v>
      </c>
      <c r="AJ39" s="19">
        <v>6179</v>
      </c>
      <c r="AK39" s="19">
        <v>6069</v>
      </c>
      <c r="AL39" s="19">
        <v>5356</v>
      </c>
      <c r="AM39" s="19">
        <v>5614</v>
      </c>
      <c r="AN39" s="19">
        <v>5259</v>
      </c>
      <c r="AO39" s="19">
        <v>5269</v>
      </c>
      <c r="AP39" s="19">
        <v>5168</v>
      </c>
      <c r="AQ39" s="19">
        <v>4508</v>
      </c>
      <c r="AR39" s="19">
        <v>4383</v>
      </c>
      <c r="AS39" s="19">
        <v>3624</v>
      </c>
      <c r="AT39" s="19">
        <v>4000</v>
      </c>
      <c r="AU39" s="19">
        <v>3012</v>
      </c>
      <c r="AV39" s="19">
        <v>3427</v>
      </c>
      <c r="AW39" s="19">
        <v>6972</v>
      </c>
      <c r="AX39" s="19">
        <v>6021</v>
      </c>
      <c r="AY39" s="19">
        <v>5246</v>
      </c>
      <c r="AZ39" s="19">
        <v>5384</v>
      </c>
      <c r="BA39" s="19">
        <v>3299</v>
      </c>
      <c r="BB39" s="19">
        <v>3530</v>
      </c>
      <c r="BC39" s="19">
        <v>3309</v>
      </c>
      <c r="BD39" s="19">
        <v>3203</v>
      </c>
      <c r="BE39" s="19">
        <v>3880</v>
      </c>
      <c r="BF39" s="19">
        <v>5280</v>
      </c>
      <c r="BG39" s="19">
        <v>5961.8</v>
      </c>
      <c r="BH39" s="19">
        <v>6225</v>
      </c>
      <c r="BI39" s="19">
        <v>5747.5</v>
      </c>
      <c r="BJ39" s="19">
        <v>11218.1</v>
      </c>
      <c r="BK39" s="19">
        <v>16756.3</v>
      </c>
      <c r="BL39" s="19">
        <v>21672</v>
      </c>
      <c r="BM39" s="19">
        <v>23881.8</v>
      </c>
      <c r="BN39" s="19">
        <v>21908</v>
      </c>
      <c r="BO39" s="19">
        <v>25597</v>
      </c>
      <c r="BP39" s="19">
        <v>25278</v>
      </c>
      <c r="BQ39" s="19">
        <v>23155</v>
      </c>
      <c r="BR39" s="19">
        <v>23038</v>
      </c>
      <c r="BS39" s="19">
        <v>28472.9</v>
      </c>
      <c r="BT39" s="19">
        <v>27301</v>
      </c>
      <c r="BU39" s="19">
        <v>32728</v>
      </c>
      <c r="BV39" s="19">
        <v>34270</v>
      </c>
      <c r="BW39" s="19">
        <v>31464</v>
      </c>
      <c r="BX39" s="19">
        <v>30759</v>
      </c>
      <c r="BY39" s="47">
        <v>29639.780000000002</v>
      </c>
      <c r="BZ39" s="47">
        <v>32529.83</v>
      </c>
    </row>
    <row r="40" spans="1:78" x14ac:dyDescent="0.3">
      <c r="A40" s="33" t="s">
        <v>23</v>
      </c>
      <c r="B40" s="19">
        <v>10017</v>
      </c>
      <c r="C40" s="19">
        <v>8838</v>
      </c>
      <c r="D40" s="19">
        <v>8032</v>
      </c>
      <c r="E40" s="19">
        <v>8304.2999999999993</v>
      </c>
      <c r="F40" s="19">
        <v>7419</v>
      </c>
      <c r="G40" s="19">
        <v>5649</v>
      </c>
      <c r="H40" s="19">
        <v>5395</v>
      </c>
      <c r="I40" s="19">
        <v>5620.2</v>
      </c>
      <c r="J40" s="19">
        <v>5477.9</v>
      </c>
      <c r="K40" s="19">
        <v>5172</v>
      </c>
      <c r="L40" s="19">
        <v>5034</v>
      </c>
      <c r="M40" s="19">
        <v>4605</v>
      </c>
      <c r="N40" s="19">
        <v>4898</v>
      </c>
      <c r="O40" s="19">
        <v>5991</v>
      </c>
      <c r="P40" s="19">
        <v>5906</v>
      </c>
      <c r="Q40" s="19">
        <v>5053</v>
      </c>
      <c r="R40" s="19">
        <v>4786</v>
      </c>
      <c r="S40" s="19">
        <v>4567</v>
      </c>
      <c r="T40" s="19">
        <v>5481</v>
      </c>
      <c r="U40" s="19">
        <v>8809</v>
      </c>
      <c r="V40" s="19">
        <v>8763</v>
      </c>
      <c r="W40" s="19">
        <v>8730</v>
      </c>
      <c r="X40" s="19">
        <v>8996</v>
      </c>
      <c r="Y40" s="19">
        <v>8904</v>
      </c>
      <c r="Z40" s="19">
        <v>9053</v>
      </c>
      <c r="AA40" s="19">
        <v>9127</v>
      </c>
      <c r="AB40" s="19">
        <v>8969</v>
      </c>
      <c r="AC40" s="19">
        <v>8745</v>
      </c>
      <c r="AD40" s="19">
        <v>9164</v>
      </c>
      <c r="AE40" s="19">
        <v>9126</v>
      </c>
      <c r="AF40" s="19">
        <v>9348</v>
      </c>
      <c r="AG40" s="19">
        <v>9786</v>
      </c>
      <c r="AH40" s="19">
        <v>11066</v>
      </c>
      <c r="AI40" s="19">
        <v>11187</v>
      </c>
      <c r="AJ40" s="19">
        <v>11202</v>
      </c>
      <c r="AK40" s="19">
        <v>11292</v>
      </c>
      <c r="AL40" s="19">
        <v>10906</v>
      </c>
      <c r="AM40" s="19">
        <v>11017</v>
      </c>
      <c r="AN40" s="19">
        <v>11203</v>
      </c>
      <c r="AO40" s="19">
        <v>11240</v>
      </c>
      <c r="AP40" s="19">
        <v>10781</v>
      </c>
      <c r="AQ40" s="19">
        <v>11536</v>
      </c>
      <c r="AR40" s="19">
        <v>10960</v>
      </c>
      <c r="AS40" s="19">
        <v>11185</v>
      </c>
      <c r="AT40" s="19">
        <v>10739</v>
      </c>
      <c r="AU40" s="19">
        <v>11854</v>
      </c>
      <c r="AV40" s="19">
        <v>12065</v>
      </c>
      <c r="AW40" s="19">
        <v>12103</v>
      </c>
      <c r="AX40" s="19">
        <v>11725</v>
      </c>
      <c r="AY40" s="19">
        <v>12031</v>
      </c>
      <c r="AZ40" s="19">
        <v>11802.6</v>
      </c>
      <c r="BA40" s="19">
        <v>15954</v>
      </c>
      <c r="BB40" s="19">
        <v>19047</v>
      </c>
      <c r="BC40" s="19">
        <v>20516</v>
      </c>
      <c r="BD40" s="19">
        <v>21076</v>
      </c>
      <c r="BE40" s="19">
        <v>21945</v>
      </c>
      <c r="BF40" s="19">
        <v>22935</v>
      </c>
      <c r="BG40" s="19">
        <v>25135</v>
      </c>
      <c r="BH40" s="19">
        <v>25316.7</v>
      </c>
      <c r="BI40" s="19">
        <v>26460.27</v>
      </c>
      <c r="BJ40" s="19">
        <v>26914.89</v>
      </c>
      <c r="BK40" s="19">
        <v>28693</v>
      </c>
      <c r="BL40" s="19">
        <v>28974</v>
      </c>
      <c r="BM40" s="19">
        <v>30067</v>
      </c>
      <c r="BN40" s="19">
        <v>31244</v>
      </c>
      <c r="BO40" s="19">
        <v>31394</v>
      </c>
      <c r="BP40" s="19">
        <v>29519</v>
      </c>
      <c r="BQ40" s="19">
        <v>29485.9</v>
      </c>
      <c r="BR40" s="19">
        <v>30381.5</v>
      </c>
      <c r="BS40" s="19">
        <v>30727.599999999999</v>
      </c>
      <c r="BT40" s="19">
        <v>28944</v>
      </c>
      <c r="BU40" s="19">
        <v>29580</v>
      </c>
      <c r="BV40" s="19">
        <v>27825</v>
      </c>
      <c r="BW40" s="19">
        <v>27427.33</v>
      </c>
      <c r="BX40" s="19">
        <v>27454</v>
      </c>
      <c r="BY40" s="1119">
        <v>27813</v>
      </c>
      <c r="BZ40" s="47">
        <v>27993</v>
      </c>
    </row>
    <row r="41" spans="1:78" x14ac:dyDescent="0.3">
      <c r="A41" s="33" t="s">
        <v>22</v>
      </c>
      <c r="B41" s="19">
        <v>7317</v>
      </c>
      <c r="C41" s="19">
        <v>6013</v>
      </c>
      <c r="D41" s="19">
        <v>5326</v>
      </c>
      <c r="E41" s="19">
        <v>4635</v>
      </c>
      <c r="F41" s="19">
        <v>3601</v>
      </c>
      <c r="G41" s="19">
        <v>2562.3000000000002</v>
      </c>
      <c r="H41" s="19">
        <v>2500.6999999999998</v>
      </c>
      <c r="I41" s="19">
        <v>2541.6</v>
      </c>
      <c r="J41" s="19">
        <v>2500.6999999999998</v>
      </c>
      <c r="K41" s="19">
        <v>2657</v>
      </c>
      <c r="L41" s="19">
        <v>2646</v>
      </c>
      <c r="M41" s="19">
        <v>5026</v>
      </c>
      <c r="N41" s="19">
        <v>5966</v>
      </c>
      <c r="O41" s="19">
        <v>3759</v>
      </c>
      <c r="P41" s="19">
        <v>3491</v>
      </c>
      <c r="Q41" s="19">
        <v>3638</v>
      </c>
      <c r="R41" s="19">
        <v>3404</v>
      </c>
      <c r="S41" s="19">
        <v>2966</v>
      </c>
      <c r="T41" s="19">
        <v>2767</v>
      </c>
      <c r="U41" s="19">
        <v>2364</v>
      </c>
      <c r="V41" s="19">
        <v>2355</v>
      </c>
      <c r="W41" s="19">
        <v>2147</v>
      </c>
      <c r="X41" s="19">
        <v>2141</v>
      </c>
      <c r="Y41" s="19">
        <v>1984</v>
      </c>
      <c r="Z41" s="19">
        <v>1919</v>
      </c>
      <c r="AA41" s="19">
        <v>1867</v>
      </c>
      <c r="AB41" s="19">
        <v>1859</v>
      </c>
      <c r="AC41" s="19">
        <v>1824</v>
      </c>
      <c r="AD41" s="19">
        <v>1764</v>
      </c>
      <c r="AE41" s="19">
        <v>1712</v>
      </c>
      <c r="AF41" s="19">
        <v>1600</v>
      </c>
      <c r="AG41" s="19">
        <v>1508</v>
      </c>
      <c r="AH41" s="19">
        <v>1470</v>
      </c>
      <c r="AI41" s="19">
        <v>1431</v>
      </c>
      <c r="AJ41" s="19">
        <v>1455</v>
      </c>
      <c r="AK41" s="19">
        <v>1382</v>
      </c>
      <c r="AL41" s="19">
        <v>1355</v>
      </c>
      <c r="AM41" s="19">
        <v>1300</v>
      </c>
      <c r="AN41" s="19">
        <v>1251</v>
      </c>
      <c r="AO41" s="19">
        <v>1145</v>
      </c>
      <c r="AP41" s="19">
        <v>1089</v>
      </c>
      <c r="AQ41" s="19">
        <v>1085</v>
      </c>
      <c r="AR41" s="19">
        <v>1036</v>
      </c>
      <c r="AS41" s="19">
        <v>995</v>
      </c>
      <c r="AT41" s="19">
        <v>955</v>
      </c>
      <c r="AU41" s="19">
        <v>882</v>
      </c>
      <c r="AV41" s="19">
        <v>810</v>
      </c>
      <c r="AW41" s="19">
        <v>743</v>
      </c>
      <c r="AX41" s="19">
        <v>680</v>
      </c>
      <c r="AY41" s="19">
        <v>647</v>
      </c>
      <c r="AZ41" s="19">
        <v>575</v>
      </c>
      <c r="BA41" s="19">
        <v>533</v>
      </c>
      <c r="BB41" s="19">
        <v>512</v>
      </c>
      <c r="BC41" s="19">
        <v>522</v>
      </c>
      <c r="BD41" s="19">
        <v>528</v>
      </c>
      <c r="BE41" s="19">
        <v>546</v>
      </c>
      <c r="BF41" s="19">
        <v>521</v>
      </c>
      <c r="BG41" s="19">
        <v>558</v>
      </c>
      <c r="BH41" s="19">
        <v>530</v>
      </c>
      <c r="BI41" s="19">
        <v>34</v>
      </c>
      <c r="BJ41" s="19">
        <v>20</v>
      </c>
      <c r="BK41" s="19">
        <v>20</v>
      </c>
      <c r="BL41" s="19">
        <v>5</v>
      </c>
      <c r="BM41" s="19">
        <v>6</v>
      </c>
      <c r="BN41" s="19">
        <v>0</v>
      </c>
      <c r="BO41" s="19">
        <v>0</v>
      </c>
      <c r="BP41" s="19">
        <v>0</v>
      </c>
      <c r="BQ41" s="19">
        <v>0</v>
      </c>
      <c r="BR41" s="19">
        <v>0</v>
      </c>
      <c r="BS41" s="19">
        <v>0</v>
      </c>
      <c r="BT41" s="19">
        <v>0</v>
      </c>
      <c r="BU41" s="19">
        <v>0</v>
      </c>
      <c r="BV41" s="19">
        <v>0</v>
      </c>
      <c r="BW41" s="19">
        <v>0</v>
      </c>
      <c r="BX41" s="19">
        <v>0</v>
      </c>
      <c r="BY41" s="19">
        <v>0</v>
      </c>
      <c r="BZ41" s="19">
        <v>0</v>
      </c>
    </row>
    <row r="42" spans="1:78" s="8" customFormat="1" ht="13.5" x14ac:dyDescent="0.35">
      <c r="A42" s="23" t="s">
        <v>21</v>
      </c>
      <c r="B42" s="22">
        <v>0.166856618723288</v>
      </c>
      <c r="C42" s="22">
        <v>0.13731681267180651</v>
      </c>
      <c r="D42" s="22">
        <v>0.12094197893282679</v>
      </c>
      <c r="E42" s="22">
        <v>0.12213890159514934</v>
      </c>
      <c r="F42" s="22">
        <v>9.1021266415683505E-2</v>
      </c>
      <c r="G42" s="22">
        <v>7.2273427196840767E-2</v>
      </c>
      <c r="H42" s="22">
        <v>6.9772036583350697E-2</v>
      </c>
      <c r="I42" s="22">
        <v>7.6064013171318612E-2</v>
      </c>
      <c r="J42" s="22">
        <v>8.1989090883596363E-2</v>
      </c>
      <c r="K42" s="22">
        <v>8.4606132445482596E-2</v>
      </c>
      <c r="L42" s="22">
        <v>8.0668738389958514E-2</v>
      </c>
      <c r="M42" s="22">
        <v>8.617714802780406E-2</v>
      </c>
      <c r="N42" s="22">
        <v>8.4178919241515882E-2</v>
      </c>
      <c r="O42" s="22">
        <v>7.6967487697957152E-2</v>
      </c>
      <c r="P42" s="22">
        <v>7.9212509344959672E-2</v>
      </c>
      <c r="Q42" s="22">
        <v>6.6016138721566461E-2</v>
      </c>
      <c r="R42" s="22">
        <v>6.1339556325293532E-2</v>
      </c>
      <c r="S42" s="22">
        <v>5.6764530816144E-2</v>
      </c>
      <c r="T42" s="22">
        <v>5.8009382248491698E-2</v>
      </c>
      <c r="U42" s="22">
        <v>6.2610578653367485E-2</v>
      </c>
      <c r="V42" s="22">
        <v>6.5936235317342815E-2</v>
      </c>
      <c r="W42" s="22">
        <v>6.2522661148400674E-2</v>
      </c>
      <c r="X42" s="22">
        <v>6.2995629301996911E-2</v>
      </c>
      <c r="Y42" s="22">
        <v>6.2793032249232841E-2</v>
      </c>
      <c r="Z42" s="22">
        <v>6.3015161521491697E-2</v>
      </c>
      <c r="AA42" s="22">
        <v>5.8580497335111767E-2</v>
      </c>
      <c r="AB42" s="22">
        <v>5.6182622128139535E-2</v>
      </c>
      <c r="AC42" s="22">
        <v>5.9280855199222549E-2</v>
      </c>
      <c r="AD42" s="22">
        <v>5.6540873839347319E-2</v>
      </c>
      <c r="AE42" s="22">
        <v>5.1459913298612166E-2</v>
      </c>
      <c r="AF42" s="22">
        <v>5.0606361356869467E-2</v>
      </c>
      <c r="AG42" s="22">
        <v>5.2223922594658634E-2</v>
      </c>
      <c r="AH42" s="22">
        <v>5.3359760694569422E-2</v>
      </c>
      <c r="AI42" s="22">
        <v>6.0397070171179117E-2</v>
      </c>
      <c r="AJ42" s="22">
        <v>5.8741776198765777E-2</v>
      </c>
      <c r="AK42" s="22">
        <v>5.6772686441492894E-2</v>
      </c>
      <c r="AL42" s="22">
        <v>5.3120263926366762E-2</v>
      </c>
      <c r="AM42" s="22">
        <v>5.2326904347984378E-2</v>
      </c>
      <c r="AN42" s="22">
        <v>5.1015007580038935E-2</v>
      </c>
      <c r="AO42" s="22">
        <v>4.8474743732246514E-2</v>
      </c>
      <c r="AP42" s="22">
        <v>5.3295346132232052E-2</v>
      </c>
      <c r="AQ42" s="22">
        <v>5.2673011623841422E-2</v>
      </c>
      <c r="AR42" s="22">
        <v>6.402920221431764E-2</v>
      </c>
      <c r="AS42" s="22">
        <v>6.1717162020593255E-2</v>
      </c>
      <c r="AT42" s="22">
        <v>6.0762950647893367E-2</v>
      </c>
      <c r="AU42" s="22">
        <v>6.0356527719451998E-2</v>
      </c>
      <c r="AV42" s="22">
        <v>6.0802212226473085E-2</v>
      </c>
      <c r="AW42" s="22">
        <v>7.3275870561000836E-2</v>
      </c>
      <c r="AX42" s="22">
        <v>7.004222867490946E-2</v>
      </c>
      <c r="AY42" s="22">
        <v>6.9101279559851597E-2</v>
      </c>
      <c r="AZ42" s="22">
        <v>6.8098428835489833E-2</v>
      </c>
      <c r="BA42" s="22">
        <v>6.5304763261330695E-2</v>
      </c>
      <c r="BB42" s="22">
        <v>7.2021208604700113E-2</v>
      </c>
      <c r="BC42" s="22">
        <v>8.0630548633385854E-2</v>
      </c>
      <c r="BD42" s="22">
        <v>7.0227386764234012E-2</v>
      </c>
      <c r="BE42" s="22">
        <v>7.5191555095574292E-2</v>
      </c>
      <c r="BF42" s="22">
        <v>8.1991415309066798E-2</v>
      </c>
      <c r="BG42" s="22">
        <v>8.5458663303690979E-2</v>
      </c>
      <c r="BH42" s="22">
        <v>8.4855174230722641E-2</v>
      </c>
      <c r="BI42" s="22">
        <v>8.2707533618960355E-2</v>
      </c>
      <c r="BJ42" s="22">
        <v>9.2206847035671141E-2</v>
      </c>
      <c r="BK42" s="22">
        <v>0.10134177726002573</v>
      </c>
      <c r="BL42" s="22">
        <v>0.10695193031980635</v>
      </c>
      <c r="BM42" s="22">
        <v>0.10839095260756376</v>
      </c>
      <c r="BN42" s="22">
        <v>0.10413889266766427</v>
      </c>
      <c r="BO42" s="22">
        <v>0.10671581036740531</v>
      </c>
      <c r="BP42" s="22">
        <v>0.10077244302647985</v>
      </c>
      <c r="BQ42" s="22">
        <v>9.4864915778402226E-2</v>
      </c>
      <c r="BR42" s="22">
        <v>9.4128233936176586E-2</v>
      </c>
      <c r="BS42" s="22">
        <v>0.1009442889099834</v>
      </c>
      <c r="BT42" s="22">
        <v>9.4350115416359556E-2</v>
      </c>
      <c r="BU42" s="22">
        <v>0.10122954661820595</v>
      </c>
      <c r="BV42" s="22">
        <v>9.925430519574488E-2</v>
      </c>
      <c r="BW42" s="22">
        <v>8.9601031449733567E-2</v>
      </c>
      <c r="BX42" s="22">
        <v>8.7222258815263687E-2</v>
      </c>
      <c r="BY42" s="22">
        <v>8.3803743221969568E-2</v>
      </c>
      <c r="BZ42" s="22">
        <v>8.6557561628230431E-2</v>
      </c>
    </row>
    <row r="43" spans="1:78" ht="3.75" customHeight="1" x14ac:dyDescent="0.35">
      <c r="A43" s="23"/>
      <c r="B43" s="32"/>
      <c r="C43" s="32"/>
      <c r="D43" s="32"/>
      <c r="E43" s="32"/>
      <c r="F43" s="32"/>
      <c r="G43" s="32"/>
      <c r="H43" s="30"/>
      <c r="I43" s="30"/>
      <c r="J43" s="30"/>
      <c r="K43" s="30"/>
      <c r="L43" s="30"/>
      <c r="M43" s="30"/>
      <c r="N43" s="31"/>
      <c r="O43" s="31"/>
      <c r="P43" s="30"/>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row>
    <row r="44" spans="1:78" x14ac:dyDescent="0.3">
      <c r="A44" s="30" t="s">
        <v>20</v>
      </c>
      <c r="B44" s="19">
        <v>94838.214999999997</v>
      </c>
      <c r="C44" s="19">
        <v>93807.1</v>
      </c>
      <c r="D44" s="19">
        <v>105835.6</v>
      </c>
      <c r="E44" s="19">
        <v>117359.83110500002</v>
      </c>
      <c r="F44" s="19">
        <v>119515.40000000001</v>
      </c>
      <c r="G44" s="19">
        <v>121378.59999999998</v>
      </c>
      <c r="H44" s="19">
        <v>122229.2</v>
      </c>
      <c r="I44" s="19">
        <v>121334.7</v>
      </c>
      <c r="J44" s="19">
        <v>127781.25</v>
      </c>
      <c r="K44" s="19">
        <v>133800</v>
      </c>
      <c r="L44" s="19">
        <v>133880.20000000001</v>
      </c>
      <c r="M44" s="19">
        <v>141242.20000000001</v>
      </c>
      <c r="N44" s="19">
        <v>137083.4</v>
      </c>
      <c r="O44" s="19">
        <v>139653.20000000001</v>
      </c>
      <c r="P44" s="19">
        <v>142121.60000000001</v>
      </c>
      <c r="Q44" s="19">
        <v>140308.09999999998</v>
      </c>
      <c r="R44" s="19">
        <v>139128.70000000001</v>
      </c>
      <c r="S44" s="19">
        <v>140596.29999999999</v>
      </c>
      <c r="T44" s="19">
        <v>141342</v>
      </c>
      <c r="U44" s="19">
        <v>146856</v>
      </c>
      <c r="V44" s="19">
        <v>149306</v>
      </c>
      <c r="W44" s="19">
        <v>150177</v>
      </c>
      <c r="X44" s="19">
        <v>150489</v>
      </c>
      <c r="Y44" s="19">
        <v>152043</v>
      </c>
      <c r="Z44" s="19">
        <v>154314</v>
      </c>
      <c r="AA44" s="19">
        <v>154167</v>
      </c>
      <c r="AB44" s="19">
        <v>158016</v>
      </c>
      <c r="AC44" s="19">
        <v>162046</v>
      </c>
      <c r="AD44" s="19">
        <v>164533</v>
      </c>
      <c r="AE44" s="19">
        <v>166438</v>
      </c>
      <c r="AF44" s="19">
        <v>172362.7</v>
      </c>
      <c r="AG44" s="19">
        <v>175173</v>
      </c>
      <c r="AH44" s="19">
        <v>178187.5</v>
      </c>
      <c r="AI44" s="19">
        <v>184439</v>
      </c>
      <c r="AJ44" s="19">
        <v>189769</v>
      </c>
      <c r="AK44" s="19">
        <v>193205</v>
      </c>
      <c r="AL44" s="19">
        <v>200647</v>
      </c>
      <c r="AM44" s="19">
        <v>208501</v>
      </c>
      <c r="AN44" s="19">
        <v>212017</v>
      </c>
      <c r="AO44" s="19">
        <v>215899</v>
      </c>
      <c r="AP44" s="19">
        <v>230651</v>
      </c>
      <c r="AQ44" s="19">
        <v>231161</v>
      </c>
      <c r="AR44" s="19">
        <v>235400</v>
      </c>
      <c r="AS44" s="19">
        <v>234063</v>
      </c>
      <c r="AT44" s="19">
        <v>237086</v>
      </c>
      <c r="AU44" s="19">
        <v>242822</v>
      </c>
      <c r="AV44" s="19">
        <v>252255</v>
      </c>
      <c r="AW44" s="19">
        <v>261533</v>
      </c>
      <c r="AX44" s="19">
        <v>269872</v>
      </c>
      <c r="AY44" s="19">
        <v>272217</v>
      </c>
      <c r="AZ44" s="19">
        <v>279664</v>
      </c>
      <c r="BA44" s="19">
        <v>275708</v>
      </c>
      <c r="BB44" s="19">
        <v>281281</v>
      </c>
      <c r="BC44" s="19">
        <v>322426</v>
      </c>
      <c r="BD44" s="19">
        <v>294761</v>
      </c>
      <c r="BE44" s="19">
        <v>286601</v>
      </c>
      <c r="BF44" s="19">
        <v>302578</v>
      </c>
      <c r="BG44" s="19">
        <v>334542.59999999998</v>
      </c>
      <c r="BH44" s="19">
        <v>340887</v>
      </c>
      <c r="BI44" s="19">
        <v>329560.7</v>
      </c>
      <c r="BJ44" s="19">
        <v>342859.45999999996</v>
      </c>
      <c r="BK44" s="19">
        <v>362564.14</v>
      </c>
      <c r="BL44" s="19">
        <v>378688.07</v>
      </c>
      <c r="BM44" s="19">
        <v>378114.6</v>
      </c>
      <c r="BN44" s="19">
        <v>382636</v>
      </c>
      <c r="BO44" s="19">
        <v>398128.4</v>
      </c>
      <c r="BP44" s="19">
        <v>405325.14</v>
      </c>
      <c r="BQ44" s="19">
        <v>413097.89</v>
      </c>
      <c r="BR44" s="19">
        <v>423421.6</v>
      </c>
      <c r="BS44" s="19">
        <v>442765.7</v>
      </c>
      <c r="BT44" s="19">
        <v>460393</v>
      </c>
      <c r="BU44" s="19">
        <v>481940.7</v>
      </c>
      <c r="BV44" s="19">
        <v>505867</v>
      </c>
      <c r="BW44" s="19">
        <v>510176</v>
      </c>
      <c r="BX44" s="19">
        <v>530092</v>
      </c>
      <c r="BY44" s="19">
        <v>534454.78</v>
      </c>
      <c r="BZ44" s="19">
        <v>548611.79624699999</v>
      </c>
    </row>
    <row r="45" spans="1:78" s="8" customFormat="1" x14ac:dyDescent="0.3">
      <c r="A45" s="29" t="s">
        <v>19</v>
      </c>
      <c r="B45" s="28">
        <v>0.61694225977895301</v>
      </c>
      <c r="C45" s="28">
        <v>0.54748775832988017</v>
      </c>
      <c r="D45" s="28">
        <v>0.57112113624589889</v>
      </c>
      <c r="E45" s="28">
        <v>0.57109962678468895</v>
      </c>
      <c r="F45" s="28">
        <v>0.50161124471697249</v>
      </c>
      <c r="G45" s="28">
        <v>0.44713583685137287</v>
      </c>
      <c r="H45" s="28">
        <v>0.43907636379311582</v>
      </c>
      <c r="I45" s="28">
        <v>0.42685309617454809</v>
      </c>
      <c r="J45" s="28">
        <v>0.44793718844867597</v>
      </c>
      <c r="K45" s="28">
        <v>0.46647027036449529</v>
      </c>
      <c r="L45" s="28">
        <v>0.46485373517820877</v>
      </c>
      <c r="M45" s="28">
        <v>0.48411069523848699</v>
      </c>
      <c r="N45" s="28">
        <v>0.46484076173941347</v>
      </c>
      <c r="O45" s="28">
        <v>0.46876388804973185</v>
      </c>
      <c r="P45" s="28">
        <v>0.47013119331000125</v>
      </c>
      <c r="Q45" s="28">
        <v>0.4556123459596369</v>
      </c>
      <c r="R45" s="28">
        <v>0.44293832615948864</v>
      </c>
      <c r="S45" s="28">
        <v>0.43814894339751997</v>
      </c>
      <c r="T45" s="28">
        <v>0.43308483550424226</v>
      </c>
      <c r="U45" s="28">
        <v>0.44414738376576834</v>
      </c>
      <c r="V45" s="28">
        <v>0.44659206814966362</v>
      </c>
      <c r="W45" s="28">
        <v>0.4426905084056279</v>
      </c>
      <c r="X45" s="28">
        <v>0.43761940903975505</v>
      </c>
      <c r="Y45" s="28">
        <v>0.4336107276896225</v>
      </c>
      <c r="Z45" s="28">
        <v>0.43366728961456857</v>
      </c>
      <c r="AA45" s="28">
        <v>0.42662286988814663</v>
      </c>
      <c r="AB45" s="28">
        <v>0.43049913772670434</v>
      </c>
      <c r="AC45" s="28">
        <v>0.42447198363365368</v>
      </c>
      <c r="AD45" s="28">
        <v>0.42519491729097914</v>
      </c>
      <c r="AE45" s="28">
        <v>0.42243576076914485</v>
      </c>
      <c r="AF45" s="28">
        <v>0.43089705481626667</v>
      </c>
      <c r="AG45" s="28">
        <v>0.43237646245742212</v>
      </c>
      <c r="AH45" s="28">
        <v>0.43334589848974925</v>
      </c>
      <c r="AI45" s="28">
        <v>0.44336617812147683</v>
      </c>
      <c r="AJ45" s="28">
        <v>0.45007138757524157</v>
      </c>
      <c r="AK45" s="28">
        <v>0.45314248053906608</v>
      </c>
      <c r="AL45" s="28">
        <v>0.46355071526263258</v>
      </c>
      <c r="AM45" s="28">
        <v>0.47443954963728874</v>
      </c>
      <c r="AN45" s="28">
        <v>0.47547251899494963</v>
      </c>
      <c r="AO45" s="28">
        <v>0.47614416274105048</v>
      </c>
      <c r="AP45" s="28">
        <v>0.50239598172083766</v>
      </c>
      <c r="AQ45" s="28">
        <v>0.49584403160037493</v>
      </c>
      <c r="AR45" s="28">
        <v>0.49870873841942803</v>
      </c>
      <c r="AS45" s="28">
        <v>0.48845959606499356</v>
      </c>
      <c r="AT45" s="28">
        <v>0.4890367613994992</v>
      </c>
      <c r="AU45" s="28">
        <v>0.49261849261849261</v>
      </c>
      <c r="AV45" s="28">
        <v>0.50474420130940756</v>
      </c>
      <c r="AW45" s="28">
        <v>0.5152598138206177</v>
      </c>
      <c r="AX45" s="28">
        <v>0.52663294617209944</v>
      </c>
      <c r="AY45" s="28">
        <v>0.52847510866843073</v>
      </c>
      <c r="AZ45" s="28">
        <v>0.53847812692544672</v>
      </c>
      <c r="BA45" s="28">
        <v>0.53069961002313681</v>
      </c>
      <c r="BB45" s="28">
        <v>0.54311521655599604</v>
      </c>
      <c r="BC45" s="28">
        <v>0.67462594129302644</v>
      </c>
      <c r="BD45" s="28">
        <v>0.63476418233149501</v>
      </c>
      <c r="BE45" s="28">
        <v>0.62976635442142337</v>
      </c>
      <c r="BF45" s="28">
        <v>0.67785454415111923</v>
      </c>
      <c r="BG45" s="28">
        <v>0.72366549928724233</v>
      </c>
      <c r="BH45" s="28">
        <v>0.7242605737790252</v>
      </c>
      <c r="BI45" s="28">
        <v>0.68014046080058121</v>
      </c>
      <c r="BJ45" s="28">
        <v>0.68570246314088457</v>
      </c>
      <c r="BK45" s="28">
        <v>0.69014089708155357</v>
      </c>
      <c r="BL45" s="28">
        <v>0.69235563738216599</v>
      </c>
      <c r="BM45" s="28">
        <v>0.66153913445119383</v>
      </c>
      <c r="BN45" s="28">
        <v>0.65065297238470954</v>
      </c>
      <c r="BO45" s="28">
        <v>0.65744297530760232</v>
      </c>
      <c r="BP45" s="28">
        <v>0.65377026070153765</v>
      </c>
      <c r="BQ45" s="28">
        <v>0.6484951413635579</v>
      </c>
      <c r="BR45" s="28">
        <v>0.6507780812401347</v>
      </c>
      <c r="BS45" s="28">
        <v>0.66608051653821909</v>
      </c>
      <c r="BT45" s="28">
        <v>0.67733440437361059</v>
      </c>
      <c r="BU45" s="28">
        <v>0.6950950825346689</v>
      </c>
      <c r="BV45" s="28">
        <v>0.71769861785411282</v>
      </c>
      <c r="BW45" s="28">
        <v>0.71149391464181666</v>
      </c>
      <c r="BX45" s="28">
        <v>0.7274129451543494</v>
      </c>
      <c r="BY45" s="28">
        <v>0.71911677722312672</v>
      </c>
      <c r="BZ45" s="28">
        <v>0.72670551739499023</v>
      </c>
    </row>
    <row r="46" spans="1:78" x14ac:dyDescent="0.3">
      <c r="A46" s="30" t="s">
        <v>18</v>
      </c>
      <c r="B46" s="19">
        <v>27041.7</v>
      </c>
      <c r="C46" s="19">
        <v>23943.5</v>
      </c>
      <c r="D46" s="19">
        <v>23325.200000000001</v>
      </c>
      <c r="E46" s="19">
        <v>22317.4</v>
      </c>
      <c r="F46" s="19">
        <v>25455.8</v>
      </c>
      <c r="G46" s="19">
        <v>21589.5</v>
      </c>
      <c r="H46" s="19">
        <v>20883.599999999999</v>
      </c>
      <c r="I46" s="19">
        <v>21896.2</v>
      </c>
      <c r="J46" s="19">
        <v>22316.7</v>
      </c>
      <c r="K46" s="19">
        <v>26596.400000000001</v>
      </c>
      <c r="L46" s="19">
        <v>30221.4</v>
      </c>
      <c r="M46" s="19">
        <v>31518</v>
      </c>
      <c r="N46" s="19">
        <v>32091.3</v>
      </c>
      <c r="O46" s="19">
        <v>31378.3</v>
      </c>
      <c r="P46" s="19">
        <v>33956</v>
      </c>
      <c r="Q46" s="19">
        <v>35707</v>
      </c>
      <c r="R46" s="19">
        <v>37745</v>
      </c>
      <c r="S46" s="19">
        <v>37496</v>
      </c>
      <c r="T46" s="19">
        <v>39387</v>
      </c>
      <c r="U46" s="19">
        <v>42715</v>
      </c>
      <c r="V46" s="19">
        <v>42613</v>
      </c>
      <c r="W46" s="19">
        <v>45346</v>
      </c>
      <c r="X46" s="19">
        <v>46608</v>
      </c>
      <c r="Y46" s="19">
        <v>47015</v>
      </c>
      <c r="Z46" s="19">
        <v>48512</v>
      </c>
      <c r="AA46" s="19">
        <v>53695</v>
      </c>
      <c r="AB46" s="19">
        <v>56632</v>
      </c>
      <c r="AC46" s="19">
        <v>57891</v>
      </c>
      <c r="AD46" s="19">
        <v>59852</v>
      </c>
      <c r="AE46" s="19">
        <v>62443</v>
      </c>
      <c r="AF46" s="19">
        <v>62398</v>
      </c>
      <c r="AG46" s="19">
        <v>62860</v>
      </c>
      <c r="AH46" s="19">
        <v>68689</v>
      </c>
      <c r="AI46" s="19">
        <v>67465.282204401403</v>
      </c>
      <c r="AJ46" s="19">
        <v>67347</v>
      </c>
      <c r="AK46" s="19">
        <v>67476</v>
      </c>
      <c r="AL46" s="19">
        <v>66410.88342367101</v>
      </c>
      <c r="AM46" s="19">
        <v>65895.646230258397</v>
      </c>
      <c r="AN46" s="19">
        <v>65673</v>
      </c>
      <c r="AO46" s="19">
        <v>64124</v>
      </c>
      <c r="AP46" s="19">
        <v>58074</v>
      </c>
      <c r="AQ46" s="19">
        <v>58942</v>
      </c>
      <c r="AR46" s="19">
        <v>57101.2</v>
      </c>
      <c r="AS46" s="19">
        <v>57386</v>
      </c>
      <c r="AT46" s="19">
        <v>56316.700000000004</v>
      </c>
      <c r="AU46" s="19">
        <v>57342</v>
      </c>
      <c r="AV46" s="19">
        <v>55020.000000000007</v>
      </c>
      <c r="AW46" s="19">
        <v>54326.950000000004</v>
      </c>
      <c r="AX46" s="19">
        <v>52716.600000000006</v>
      </c>
      <c r="AY46" s="19">
        <v>52981.500000000007</v>
      </c>
      <c r="AZ46" s="19">
        <v>51626.6</v>
      </c>
      <c r="BA46" s="19">
        <v>56126.250000000007</v>
      </c>
      <c r="BB46" s="19">
        <v>53217.8</v>
      </c>
      <c r="BC46" s="19">
        <v>64752.2</v>
      </c>
      <c r="BD46" s="19">
        <v>80585.95</v>
      </c>
      <c r="BE46" s="19">
        <v>82303.600000000006</v>
      </c>
      <c r="BF46" s="19">
        <v>93561.600000000006</v>
      </c>
      <c r="BG46" s="19">
        <v>97633.299999999988</v>
      </c>
      <c r="BH46" s="19">
        <v>103482.25</v>
      </c>
      <c r="BI46" s="19">
        <v>103508.22</v>
      </c>
      <c r="BJ46" s="19">
        <v>103197.74</v>
      </c>
      <c r="BK46" s="19">
        <v>101885.35</v>
      </c>
      <c r="BL46" s="19">
        <v>96374.6</v>
      </c>
      <c r="BM46" s="19">
        <v>111861.45</v>
      </c>
      <c r="BN46" s="19">
        <v>117086.90000000001</v>
      </c>
      <c r="BO46" s="19">
        <v>115267.65000000001</v>
      </c>
      <c r="BP46" s="19">
        <v>109036.75000000001</v>
      </c>
      <c r="BQ46" s="19">
        <v>113432.45000000001</v>
      </c>
      <c r="BR46" s="19">
        <v>115931.70000000001</v>
      </c>
      <c r="BS46" s="19">
        <v>116187.6</v>
      </c>
      <c r="BT46" s="19">
        <v>125964</v>
      </c>
      <c r="BU46" s="19">
        <v>126313</v>
      </c>
      <c r="BV46" s="19">
        <v>122375</v>
      </c>
      <c r="BW46" s="19">
        <v>124555.33</v>
      </c>
      <c r="BX46" s="19">
        <v>124447</v>
      </c>
      <c r="BY46" s="19">
        <v>126639</v>
      </c>
      <c r="BZ46" s="19">
        <v>126794</v>
      </c>
    </row>
    <row r="47" spans="1:78" s="8" customFormat="1" x14ac:dyDescent="0.3">
      <c r="A47" s="29" t="s">
        <v>17</v>
      </c>
      <c r="B47" s="28">
        <v>0.17591186744989365</v>
      </c>
      <c r="C47" s="28">
        <v>0.13974180143690068</v>
      </c>
      <c r="D47" s="28">
        <v>0.12586988430322915</v>
      </c>
      <c r="E47" s="28">
        <v>0.10860154356733399</v>
      </c>
      <c r="F47" s="28">
        <v>0.10683908118339817</v>
      </c>
      <c r="G47" s="28">
        <v>7.9531640253740904E-2</v>
      </c>
      <c r="H47" s="28">
        <v>7.5018859248934894E-2</v>
      </c>
      <c r="I47" s="28">
        <v>7.7030402386597904E-2</v>
      </c>
      <c r="J47" s="28">
        <v>7.8231194744554214E-2</v>
      </c>
      <c r="K47" s="28">
        <v>9.2723691320794194E-2</v>
      </c>
      <c r="L47" s="28">
        <v>0.10493359490286627</v>
      </c>
      <c r="M47" s="28">
        <v>0.10802862666063423</v>
      </c>
      <c r="N47" s="28">
        <v>0.10881948023763666</v>
      </c>
      <c r="O47" s="28">
        <v>0.10532529085184514</v>
      </c>
      <c r="P47" s="28">
        <v>0.11232476133138385</v>
      </c>
      <c r="Q47" s="28">
        <v>0.11594875874721956</v>
      </c>
      <c r="R47" s="28">
        <v>0.12016720576624303</v>
      </c>
      <c r="S47" s="28">
        <v>0.11685110334790752</v>
      </c>
      <c r="T47" s="28">
        <v>0.12068537601000119</v>
      </c>
      <c r="U47" s="28">
        <v>0.12918611086748102</v>
      </c>
      <c r="V47" s="28">
        <v>0.1274605695689498</v>
      </c>
      <c r="W47" s="28">
        <v>0.13367056069945202</v>
      </c>
      <c r="X47" s="28">
        <v>0.13553525783628639</v>
      </c>
      <c r="Y47" s="28">
        <v>0.13408186080469081</v>
      </c>
      <c r="Z47" s="28">
        <v>0.13633285089999578</v>
      </c>
      <c r="AA47" s="28">
        <v>0.14858896520425274</v>
      </c>
      <c r="AB47" s="28">
        <v>0.15428834527983698</v>
      </c>
      <c r="AC47" s="28">
        <v>0.15164279034678946</v>
      </c>
      <c r="AD47" s="28">
        <v>0.15467271726461976</v>
      </c>
      <c r="AE47" s="28">
        <v>0.15848638057239159</v>
      </c>
      <c r="AF47" s="28">
        <v>0.15599149019147068</v>
      </c>
      <c r="AG47" s="28">
        <v>0.15515624228661698</v>
      </c>
      <c r="AH47" s="28">
        <v>0.16704929594591308</v>
      </c>
      <c r="AI47" s="28">
        <v>0.16217732869323914</v>
      </c>
      <c r="AJ47" s="28">
        <v>0.15972554916255971</v>
      </c>
      <c r="AK47" s="28">
        <v>0.15825802653582477</v>
      </c>
      <c r="AL47" s="28">
        <v>0.15342772387459572</v>
      </c>
      <c r="AM47" s="28">
        <v>0.14994412842404542</v>
      </c>
      <c r="AN47" s="28">
        <v>0.14727925939879974</v>
      </c>
      <c r="AO47" s="28">
        <v>0.14141922052259215</v>
      </c>
      <c r="AP47" s="28">
        <v>0.12649476586902256</v>
      </c>
      <c r="AQ47" s="28">
        <v>0.12643153001842569</v>
      </c>
      <c r="AR47" s="28">
        <v>0.12097224899845133</v>
      </c>
      <c r="AS47" s="28">
        <v>0.11975725501162388</v>
      </c>
      <c r="AT47" s="28">
        <v>0.11616433100523514</v>
      </c>
      <c r="AU47" s="28">
        <v>0.11633101450333826</v>
      </c>
      <c r="AV47" s="28">
        <v>0.11009108226216967</v>
      </c>
      <c r="AW47" s="28">
        <v>0.10703235974979068</v>
      </c>
      <c r="AX47" s="28">
        <v>0.1028720962907456</v>
      </c>
      <c r="AY47" s="28">
        <v>0.10285692653256948</v>
      </c>
      <c r="AZ47" s="28">
        <v>9.9404266789895251E-2</v>
      </c>
      <c r="BA47" s="28">
        <v>0.10803523650768598</v>
      </c>
      <c r="BB47" s="28">
        <v>0.10275630764834343</v>
      </c>
      <c r="BC47" s="28">
        <v>0.13548384396976146</v>
      </c>
      <c r="BD47" s="28">
        <v>0.17354085058456423</v>
      </c>
      <c r="BE47" s="28">
        <v>0.1808508627944741</v>
      </c>
      <c r="BF47" s="28">
        <v>0.20960266681004355</v>
      </c>
      <c r="BG47" s="28">
        <v>0.21119537778316158</v>
      </c>
      <c r="BH47" s="28">
        <v>0.21986204742611049</v>
      </c>
      <c r="BI47" s="28">
        <v>0.21361809356348596</v>
      </c>
      <c r="BJ47" s="28">
        <v>0.20639052662736096</v>
      </c>
      <c r="BK47" s="28">
        <v>0.19393877962797995</v>
      </c>
      <c r="BL47" s="28">
        <v>0.17620174200484134</v>
      </c>
      <c r="BM47" s="28">
        <v>0.19570978431262773</v>
      </c>
      <c r="BN47" s="28">
        <v>0.199100292477214</v>
      </c>
      <c r="BO47" s="28">
        <v>0.19034539302575587</v>
      </c>
      <c r="BP47" s="28">
        <v>0.17587111540514955</v>
      </c>
      <c r="BQ47" s="28">
        <v>0.17807012448784165</v>
      </c>
      <c r="BR47" s="28">
        <v>0.17818129561861495</v>
      </c>
      <c r="BS47" s="28">
        <v>0.17478837367785263</v>
      </c>
      <c r="BT47" s="28">
        <v>0.18531939215521845</v>
      </c>
      <c r="BU47" s="28">
        <v>0.18217914602398516</v>
      </c>
      <c r="BV47" s="28">
        <v>0.173619485674885</v>
      </c>
      <c r="BW47" s="28">
        <v>0.17370546503795417</v>
      </c>
      <c r="BX47" s="28">
        <v>0.17077103368023536</v>
      </c>
      <c r="BY47" s="28">
        <v>0.17039463946932898</v>
      </c>
      <c r="BZ47" s="28">
        <v>0.16795464480150477</v>
      </c>
    </row>
    <row r="48" spans="1:78" ht="14.25" customHeight="1" x14ac:dyDescent="0.3">
      <c r="A48" s="24" t="s">
        <v>16</v>
      </c>
      <c r="B48" s="14">
        <v>121879.91499999999</v>
      </c>
      <c r="C48" s="14">
        <v>117750.6</v>
      </c>
      <c r="D48" s="14">
        <v>129160.8</v>
      </c>
      <c r="E48" s="14">
        <v>139677.23110500001</v>
      </c>
      <c r="F48" s="14">
        <v>144971.20000000001</v>
      </c>
      <c r="G48" s="14">
        <v>142968.1</v>
      </c>
      <c r="H48" s="14">
        <v>143112.79999999999</v>
      </c>
      <c r="I48" s="14">
        <v>143230.9</v>
      </c>
      <c r="J48" s="14">
        <v>150097.95000000001</v>
      </c>
      <c r="K48" s="14">
        <v>160396.4</v>
      </c>
      <c r="L48" s="14">
        <v>164101.6</v>
      </c>
      <c r="M48" s="14">
        <v>172760.2</v>
      </c>
      <c r="N48" s="14">
        <v>169174.7</v>
      </c>
      <c r="O48" s="14">
        <v>171031.5</v>
      </c>
      <c r="P48" s="14">
        <v>176077.6</v>
      </c>
      <c r="Q48" s="14">
        <v>176015.1</v>
      </c>
      <c r="R48" s="14">
        <v>176873.7</v>
      </c>
      <c r="S48" s="14">
        <v>178092.3</v>
      </c>
      <c r="T48" s="14">
        <v>180729</v>
      </c>
      <c r="U48" s="14">
        <v>189571</v>
      </c>
      <c r="V48" s="14">
        <v>191919</v>
      </c>
      <c r="W48" s="14">
        <v>195523</v>
      </c>
      <c r="X48" s="14">
        <v>197097</v>
      </c>
      <c r="Y48" s="14">
        <v>199058</v>
      </c>
      <c r="Z48" s="14">
        <v>202826</v>
      </c>
      <c r="AA48" s="14">
        <v>207862</v>
      </c>
      <c r="AB48" s="14">
        <v>214648</v>
      </c>
      <c r="AC48" s="14">
        <v>219937</v>
      </c>
      <c r="AD48" s="14">
        <v>224385</v>
      </c>
      <c r="AE48" s="14">
        <v>228881</v>
      </c>
      <c r="AF48" s="14">
        <v>234760.7</v>
      </c>
      <c r="AG48" s="14">
        <v>238033</v>
      </c>
      <c r="AH48" s="14">
        <v>246876.5</v>
      </c>
      <c r="AI48" s="14">
        <v>251904.28220440139</v>
      </c>
      <c r="AJ48" s="14">
        <v>257116</v>
      </c>
      <c r="AK48" s="14">
        <v>260681</v>
      </c>
      <c r="AL48" s="14">
        <v>267057.88342367101</v>
      </c>
      <c r="AM48" s="14">
        <v>274396.6462302584</v>
      </c>
      <c r="AN48" s="14">
        <v>277690</v>
      </c>
      <c r="AO48" s="14">
        <v>280023</v>
      </c>
      <c r="AP48" s="14">
        <v>288725</v>
      </c>
      <c r="AQ48" s="14">
        <v>290103</v>
      </c>
      <c r="AR48" s="14">
        <v>292501.2</v>
      </c>
      <c r="AS48" s="14">
        <v>291449</v>
      </c>
      <c r="AT48" s="14">
        <v>293402.7</v>
      </c>
      <c r="AU48" s="14">
        <v>300164</v>
      </c>
      <c r="AV48" s="14">
        <v>307275</v>
      </c>
      <c r="AW48" s="14">
        <v>315859.95</v>
      </c>
      <c r="AX48" s="14">
        <v>322588.59999999998</v>
      </c>
      <c r="AY48" s="14">
        <v>325198.5</v>
      </c>
      <c r="AZ48" s="14">
        <v>331290.59999999998</v>
      </c>
      <c r="BA48" s="14">
        <v>331834.25</v>
      </c>
      <c r="BB48" s="14">
        <v>334498.8</v>
      </c>
      <c r="BC48" s="14">
        <v>387178.2</v>
      </c>
      <c r="BD48" s="14">
        <v>375346.95</v>
      </c>
      <c r="BE48" s="14">
        <v>368904.6</v>
      </c>
      <c r="BF48" s="14">
        <v>396139.6</v>
      </c>
      <c r="BG48" s="14">
        <v>432175.89999999997</v>
      </c>
      <c r="BH48" s="14">
        <v>444369.25</v>
      </c>
      <c r="BI48" s="14">
        <v>433068.92000000004</v>
      </c>
      <c r="BJ48" s="14">
        <v>446057.19999999995</v>
      </c>
      <c r="BK48" s="14">
        <v>464449.49</v>
      </c>
      <c r="BL48" s="14">
        <v>475062.67</v>
      </c>
      <c r="BM48" s="14">
        <v>489976.05</v>
      </c>
      <c r="BN48" s="14">
        <v>499722.9</v>
      </c>
      <c r="BO48" s="14">
        <v>513396.05000000005</v>
      </c>
      <c r="BP48" s="14">
        <v>514361.89</v>
      </c>
      <c r="BQ48" s="14">
        <v>526530.34000000008</v>
      </c>
      <c r="BR48" s="14">
        <v>539353.30000000005</v>
      </c>
      <c r="BS48" s="14">
        <v>558953.30000000005</v>
      </c>
      <c r="BT48" s="14">
        <v>586357</v>
      </c>
      <c r="BU48" s="14">
        <v>608253.69999999995</v>
      </c>
      <c r="BV48" s="14">
        <v>628242</v>
      </c>
      <c r="BW48" s="14">
        <v>634731.32999999996</v>
      </c>
      <c r="BX48" s="14">
        <v>654539</v>
      </c>
      <c r="BY48" s="14">
        <v>661093.78</v>
      </c>
      <c r="BZ48" s="14">
        <v>675405.79624699999</v>
      </c>
    </row>
    <row r="49" spans="1:78" s="8" customFormat="1" ht="14.25" customHeight="1" x14ac:dyDescent="0.35">
      <c r="A49" s="23" t="s">
        <v>15</v>
      </c>
      <c r="B49" s="22">
        <v>0.79285412722884663</v>
      </c>
      <c r="C49" s="22">
        <v>0.68722955976678091</v>
      </c>
      <c r="D49" s="22">
        <v>0.69699102054912798</v>
      </c>
      <c r="E49" s="22">
        <v>0.67970117035202293</v>
      </c>
      <c r="F49" s="22">
        <v>0.60845032590037063</v>
      </c>
      <c r="G49" s="22">
        <v>0.52666747710511386</v>
      </c>
      <c r="H49" s="22">
        <v>0.51409522304205069</v>
      </c>
      <c r="I49" s="22">
        <v>0.503883498561146</v>
      </c>
      <c r="J49" s="22">
        <v>0.52616838319323023</v>
      </c>
      <c r="K49" s="22">
        <v>0.55919396168528945</v>
      </c>
      <c r="L49" s="22">
        <v>0.56978733008107496</v>
      </c>
      <c r="M49" s="22">
        <v>0.59213932189912122</v>
      </c>
      <c r="N49" s="22">
        <v>0.57366024197705023</v>
      </c>
      <c r="O49" s="22">
        <v>0.57408917890157696</v>
      </c>
      <c r="P49" s="22">
        <v>0.58245595464138511</v>
      </c>
      <c r="Q49" s="22">
        <v>0.5715611047068565</v>
      </c>
      <c r="R49" s="22">
        <v>0.56310553192573165</v>
      </c>
      <c r="S49" s="22">
        <v>0.55500004674542747</v>
      </c>
      <c r="T49" s="22">
        <v>0.55377021151424344</v>
      </c>
      <c r="U49" s="22">
        <v>0.57333349463324934</v>
      </c>
      <c r="V49" s="22">
        <v>0.57405263771861348</v>
      </c>
      <c r="W49" s="22">
        <v>0.57636106910507989</v>
      </c>
      <c r="X49" s="22">
        <v>0.57315466687604144</v>
      </c>
      <c r="Y49" s="22">
        <v>0.56769258849431337</v>
      </c>
      <c r="Z49" s="22">
        <v>0.57000014051456438</v>
      </c>
      <c r="AA49" s="22">
        <v>0.57521183509239937</v>
      </c>
      <c r="AB49" s="22">
        <v>0.58478748300654126</v>
      </c>
      <c r="AC49" s="22">
        <v>0.5761147739804432</v>
      </c>
      <c r="AD49" s="22">
        <v>0.57986763455559887</v>
      </c>
      <c r="AE49" s="22">
        <v>0.58092214134153641</v>
      </c>
      <c r="AF49" s="22">
        <v>0.58688854500773735</v>
      </c>
      <c r="AG49" s="22">
        <v>0.58753270474403907</v>
      </c>
      <c r="AH49" s="22">
        <v>0.60039519443566236</v>
      </c>
      <c r="AI49" s="22">
        <v>0.60554350681471591</v>
      </c>
      <c r="AJ49" s="22">
        <v>0.60979693673780122</v>
      </c>
      <c r="AK49" s="22">
        <v>0.61140050707489091</v>
      </c>
      <c r="AL49" s="22">
        <v>0.61697843913722838</v>
      </c>
      <c r="AM49" s="22">
        <v>0.6243836780613341</v>
      </c>
      <c r="AN49" s="22">
        <v>0.6227517783937494</v>
      </c>
      <c r="AO49" s="22">
        <v>0.61756338326364257</v>
      </c>
      <c r="AP49" s="22">
        <v>0.62889074758986019</v>
      </c>
      <c r="AQ49" s="22">
        <v>0.6222755616188006</v>
      </c>
      <c r="AR49" s="22">
        <v>0.61968098741787936</v>
      </c>
      <c r="AS49" s="22">
        <v>0.60821685107661738</v>
      </c>
      <c r="AT49" s="22">
        <v>0.6052010924047343</v>
      </c>
      <c r="AU49" s="22">
        <v>0.60894950712183094</v>
      </c>
      <c r="AV49" s="22">
        <v>0.61483528357157724</v>
      </c>
      <c r="AW49" s="22">
        <v>0.62229217357040834</v>
      </c>
      <c r="AX49" s="22">
        <v>0.629505042462845</v>
      </c>
      <c r="AY49" s="22">
        <v>0.63133203520100023</v>
      </c>
      <c r="AZ49" s="22">
        <v>0.63788239371534194</v>
      </c>
      <c r="BA49" s="22">
        <v>0.6387348465308228</v>
      </c>
      <c r="BB49" s="22">
        <v>0.64587152420433935</v>
      </c>
      <c r="BC49" s="22">
        <v>0.81010978526278787</v>
      </c>
      <c r="BD49" s="22">
        <v>0.80830503291605926</v>
      </c>
      <c r="BE49" s="22">
        <v>0.81061721721589741</v>
      </c>
      <c r="BF49" s="22">
        <v>0.8874572109611627</v>
      </c>
      <c r="BG49" s="22">
        <v>0.93486087707040388</v>
      </c>
      <c r="BH49" s="22">
        <v>0.94412262120513568</v>
      </c>
      <c r="BI49" s="22">
        <v>0.89375855436406726</v>
      </c>
      <c r="BJ49" s="22">
        <v>0.89209298976824547</v>
      </c>
      <c r="BK49" s="22">
        <v>0.88407967670953347</v>
      </c>
      <c r="BL49" s="22">
        <v>0.86855737938700739</v>
      </c>
      <c r="BM49" s="22">
        <v>0.85724891876382159</v>
      </c>
      <c r="BN49" s="22">
        <v>0.8497532648619236</v>
      </c>
      <c r="BO49" s="22">
        <v>0.84778836833335813</v>
      </c>
      <c r="BP49" s="22">
        <v>0.8296413761066872</v>
      </c>
      <c r="BQ49" s="22">
        <v>0.82656526585139967</v>
      </c>
      <c r="BR49" s="22">
        <v>0.82895937685874965</v>
      </c>
      <c r="BS49" s="22">
        <v>0.84086889021607181</v>
      </c>
      <c r="BT49" s="22">
        <v>0.86265379652882912</v>
      </c>
      <c r="BU49" s="22">
        <v>0.877274228558654</v>
      </c>
      <c r="BV49" s="22">
        <v>0.89131810352899787</v>
      </c>
      <c r="BW49" s="22">
        <v>0.8851993796797708</v>
      </c>
      <c r="BX49" s="22">
        <v>0.89818397883458478</v>
      </c>
      <c r="BY49" s="22">
        <v>0.8895114166924557</v>
      </c>
      <c r="BZ49" s="22">
        <v>0.89466016219649502</v>
      </c>
    </row>
    <row r="50" spans="1:78" ht="14.25" customHeight="1" x14ac:dyDescent="0.3">
      <c r="A50" s="27" t="s">
        <v>14</v>
      </c>
      <c r="B50" s="26">
        <v>0</v>
      </c>
      <c r="C50" s="26">
        <v>0</v>
      </c>
      <c r="D50" s="26">
        <v>0</v>
      </c>
      <c r="E50" s="26">
        <v>0</v>
      </c>
      <c r="F50" s="26">
        <v>0</v>
      </c>
      <c r="G50" s="26">
        <v>0</v>
      </c>
      <c r="H50" s="26">
        <v>0</v>
      </c>
      <c r="I50" s="26">
        <v>0</v>
      </c>
      <c r="J50" s="26">
        <v>0</v>
      </c>
      <c r="K50" s="26">
        <v>0</v>
      </c>
      <c r="L50" s="26">
        <v>0</v>
      </c>
      <c r="M50" s="26">
        <v>0</v>
      </c>
      <c r="N50" s="26">
        <v>0</v>
      </c>
      <c r="O50" s="26">
        <v>0</v>
      </c>
      <c r="P50" s="26">
        <v>0</v>
      </c>
      <c r="Q50" s="26">
        <v>0</v>
      </c>
      <c r="R50" s="25">
        <v>-250</v>
      </c>
      <c r="S50" s="25">
        <v>-312.60000000000002</v>
      </c>
      <c r="T50" s="25">
        <v>-2.6</v>
      </c>
      <c r="U50" s="25">
        <v>-157.6</v>
      </c>
      <c r="V50" s="25">
        <v>-2.6</v>
      </c>
      <c r="W50" s="25">
        <v>-831.1</v>
      </c>
      <c r="X50" s="25">
        <v>-374</v>
      </c>
      <c r="Y50" s="25">
        <v>-532.6</v>
      </c>
      <c r="Z50" s="25">
        <v>-1432.6</v>
      </c>
      <c r="AA50" s="25">
        <v>-682.6</v>
      </c>
      <c r="AB50" s="25">
        <v>-312.60000000000002</v>
      </c>
      <c r="AC50" s="25">
        <v>-312.60000000000002</v>
      </c>
      <c r="AD50" s="25">
        <v>-312.60000000000002</v>
      </c>
      <c r="AE50" s="25">
        <v>-312.60000000000002</v>
      </c>
      <c r="AF50" s="25">
        <v>-312.60000000000002</v>
      </c>
      <c r="AG50" s="25">
        <v>-312.60000000000002</v>
      </c>
      <c r="AH50" s="25">
        <v>-312.60000000000002</v>
      </c>
      <c r="AI50" s="25">
        <v>-312.60000000000002</v>
      </c>
      <c r="AJ50" s="25">
        <v>-834.7</v>
      </c>
      <c r="AK50" s="25">
        <v>-924.7</v>
      </c>
      <c r="AL50" s="25">
        <v>-946.1</v>
      </c>
      <c r="AM50" s="25">
        <v>-978.7</v>
      </c>
      <c r="AN50" s="25">
        <v>-1079.4000000000001</v>
      </c>
      <c r="AO50" s="25">
        <v>-1082.8</v>
      </c>
      <c r="AP50" s="25">
        <v>-1028.7</v>
      </c>
      <c r="AQ50" s="25">
        <v>-2072.85</v>
      </c>
      <c r="AR50" s="25">
        <v>-1574.6</v>
      </c>
      <c r="AS50" s="25">
        <v>-1309</v>
      </c>
      <c r="AT50" s="25">
        <v>-1711.35</v>
      </c>
      <c r="AU50" s="25">
        <v>-2063.85</v>
      </c>
      <c r="AV50" s="25">
        <v>-2232.6</v>
      </c>
      <c r="AW50" s="25">
        <v>-2904.4</v>
      </c>
      <c r="AX50" s="25">
        <v>-4540.25</v>
      </c>
      <c r="AY50" s="25">
        <v>-4544</v>
      </c>
      <c r="AZ50" s="25">
        <v>-6405</v>
      </c>
      <c r="BA50" s="25">
        <v>-5382</v>
      </c>
      <c r="BB50" s="25">
        <v>-4995</v>
      </c>
      <c r="BC50" s="25">
        <v>-5382</v>
      </c>
      <c r="BD50" s="25">
        <v>-6742</v>
      </c>
      <c r="BE50" s="25">
        <v>-6978</v>
      </c>
      <c r="BF50" s="25">
        <v>-7960.45</v>
      </c>
      <c r="BG50" s="25">
        <v>-12818</v>
      </c>
      <c r="BH50" s="25">
        <v>-14153</v>
      </c>
      <c r="BI50" s="25">
        <v>-11244</v>
      </c>
      <c r="BJ50" s="25">
        <v>-9642</v>
      </c>
      <c r="BK50" s="25">
        <v>-15155</v>
      </c>
      <c r="BL50" s="25">
        <v>-14560.15</v>
      </c>
      <c r="BM50" s="25">
        <v>-14842</v>
      </c>
      <c r="BN50" s="25">
        <v>-15957.95</v>
      </c>
      <c r="BO50" s="25">
        <v>-17829.25</v>
      </c>
      <c r="BP50" s="25">
        <v>-16995.400000000001</v>
      </c>
      <c r="BQ50" s="25">
        <v>-14398.6</v>
      </c>
      <c r="BR50" s="25">
        <v>-14628</v>
      </c>
      <c r="BS50" s="25">
        <v>-12804.7</v>
      </c>
      <c r="BT50" s="25">
        <v>-12547.1</v>
      </c>
      <c r="BU50" s="25">
        <v>-5916.05</v>
      </c>
      <c r="BV50" s="25">
        <v>-16534</v>
      </c>
      <c r="BW50" s="25">
        <v>-14521</v>
      </c>
      <c r="BX50" s="25">
        <v>-10021</v>
      </c>
      <c r="BY50" s="25">
        <v>-9247.0499999999993</v>
      </c>
      <c r="BZ50" s="25">
        <v>-11196.7</v>
      </c>
    </row>
    <row r="51" spans="1:78" ht="14.25" customHeight="1" x14ac:dyDescent="0.3">
      <c r="A51" s="24" t="s">
        <v>13</v>
      </c>
      <c r="B51" s="14">
        <v>121879.91499999999</v>
      </c>
      <c r="C51" s="14">
        <v>117750.6</v>
      </c>
      <c r="D51" s="14">
        <v>129160.8</v>
      </c>
      <c r="E51" s="14">
        <v>139677.23110500001</v>
      </c>
      <c r="F51" s="14">
        <v>144971.20000000001</v>
      </c>
      <c r="G51" s="14">
        <v>142968.1</v>
      </c>
      <c r="H51" s="14">
        <v>143112.79999999999</v>
      </c>
      <c r="I51" s="14">
        <v>143230.9</v>
      </c>
      <c r="J51" s="14">
        <v>150097.95000000001</v>
      </c>
      <c r="K51" s="14">
        <v>160396.4</v>
      </c>
      <c r="L51" s="14">
        <v>164101.6</v>
      </c>
      <c r="M51" s="14">
        <v>172760.2</v>
      </c>
      <c r="N51" s="14">
        <v>169174.7</v>
      </c>
      <c r="O51" s="14">
        <v>171031.5</v>
      </c>
      <c r="P51" s="14">
        <v>176077.6</v>
      </c>
      <c r="Q51" s="14">
        <v>176015.1</v>
      </c>
      <c r="R51" s="14">
        <v>176623.7</v>
      </c>
      <c r="S51" s="14">
        <v>177779.69999999998</v>
      </c>
      <c r="T51" s="14">
        <v>180726.39999999999</v>
      </c>
      <c r="U51" s="14">
        <v>189413.4</v>
      </c>
      <c r="V51" s="14">
        <v>191916.4</v>
      </c>
      <c r="W51" s="14">
        <v>194691.9</v>
      </c>
      <c r="X51" s="14">
        <v>196723</v>
      </c>
      <c r="Y51" s="14">
        <v>198525.4</v>
      </c>
      <c r="Z51" s="14">
        <v>201393.4</v>
      </c>
      <c r="AA51" s="14">
        <v>207179.4</v>
      </c>
      <c r="AB51" s="14">
        <v>214335.4</v>
      </c>
      <c r="AC51" s="14">
        <v>219624.4</v>
      </c>
      <c r="AD51" s="14">
        <v>224072.4</v>
      </c>
      <c r="AE51" s="14">
        <v>228568.4</v>
      </c>
      <c r="AF51" s="14">
        <v>234448.1</v>
      </c>
      <c r="AG51" s="14">
        <v>237720.4</v>
      </c>
      <c r="AH51" s="14">
        <v>246563.9</v>
      </c>
      <c r="AI51" s="14">
        <v>251591.68220440138</v>
      </c>
      <c r="AJ51" s="14">
        <v>256281.3</v>
      </c>
      <c r="AK51" s="14">
        <v>259756.3</v>
      </c>
      <c r="AL51" s="14">
        <v>266111.78342367103</v>
      </c>
      <c r="AM51" s="14">
        <v>273417.94623025839</v>
      </c>
      <c r="AN51" s="14">
        <v>276610.59999999998</v>
      </c>
      <c r="AO51" s="14">
        <v>278940.2</v>
      </c>
      <c r="AP51" s="14">
        <v>287696.3</v>
      </c>
      <c r="AQ51" s="14">
        <v>288030.15000000002</v>
      </c>
      <c r="AR51" s="14">
        <v>290926.60000000003</v>
      </c>
      <c r="AS51" s="14">
        <v>290140</v>
      </c>
      <c r="AT51" s="14">
        <v>291691.35000000003</v>
      </c>
      <c r="AU51" s="14">
        <v>298100.15000000002</v>
      </c>
      <c r="AV51" s="14">
        <v>305042.40000000002</v>
      </c>
      <c r="AW51" s="14">
        <v>312955.55</v>
      </c>
      <c r="AX51" s="14">
        <v>318048.34999999998</v>
      </c>
      <c r="AY51" s="14">
        <v>320654.5</v>
      </c>
      <c r="AZ51" s="14">
        <v>324885.59999999998</v>
      </c>
      <c r="BA51" s="14">
        <v>326452.25</v>
      </c>
      <c r="BB51" s="14">
        <v>329503.8</v>
      </c>
      <c r="BC51" s="14">
        <v>381796.2</v>
      </c>
      <c r="BD51" s="14">
        <v>368604.95</v>
      </c>
      <c r="BE51" s="14">
        <v>361926.6</v>
      </c>
      <c r="BF51" s="14">
        <v>388179.14999999997</v>
      </c>
      <c r="BG51" s="14">
        <v>419357.89999999997</v>
      </c>
      <c r="BH51" s="14">
        <v>430216.25</v>
      </c>
      <c r="BI51" s="14">
        <v>421824.92000000004</v>
      </c>
      <c r="BJ51" s="14">
        <v>436415.19999999995</v>
      </c>
      <c r="BK51" s="14">
        <v>449294.49</v>
      </c>
      <c r="BL51" s="14">
        <v>460502.51999999996</v>
      </c>
      <c r="BM51" s="14">
        <v>475134.05</v>
      </c>
      <c r="BN51" s="14">
        <v>483764.95</v>
      </c>
      <c r="BO51" s="14">
        <v>495566.80000000005</v>
      </c>
      <c r="BP51" s="14">
        <v>497366.49</v>
      </c>
      <c r="BQ51" s="14">
        <v>512131.74000000011</v>
      </c>
      <c r="BR51" s="14">
        <v>524725.30000000005</v>
      </c>
      <c r="BS51" s="14">
        <v>546148.60000000009</v>
      </c>
      <c r="BT51" s="14">
        <v>573809.9</v>
      </c>
      <c r="BU51" s="14">
        <v>602337.64999999991</v>
      </c>
      <c r="BV51" s="14">
        <v>611708</v>
      </c>
      <c r="BW51" s="14">
        <v>620210.32999999996</v>
      </c>
      <c r="BX51" s="14">
        <v>644518</v>
      </c>
      <c r="BY51" s="14">
        <v>651846.73</v>
      </c>
      <c r="BZ51" s="14">
        <v>664209.09624700004</v>
      </c>
    </row>
    <row r="52" spans="1:78" s="8" customFormat="1" ht="14.25" customHeight="1" x14ac:dyDescent="0.35">
      <c r="A52" s="23" t="s">
        <v>12</v>
      </c>
      <c r="B52" s="22">
        <v>0.79285412722884663</v>
      </c>
      <c r="C52" s="22">
        <v>0.68722955976678091</v>
      </c>
      <c r="D52" s="22">
        <v>0.69699102054912798</v>
      </c>
      <c r="E52" s="22">
        <v>0.67970117035202293</v>
      </c>
      <c r="F52" s="22">
        <v>0.60845032590037063</v>
      </c>
      <c r="G52" s="22">
        <v>0.52666747710511386</v>
      </c>
      <c r="H52" s="22">
        <v>0.51409522304205069</v>
      </c>
      <c r="I52" s="22">
        <v>0.503883498561146</v>
      </c>
      <c r="J52" s="22">
        <v>0.52616838319323023</v>
      </c>
      <c r="K52" s="22">
        <v>0.55919396168528945</v>
      </c>
      <c r="L52" s="22">
        <v>0.56978733008107496</v>
      </c>
      <c r="M52" s="22">
        <v>0.59213932189912122</v>
      </c>
      <c r="N52" s="22">
        <v>0.57366024197705023</v>
      </c>
      <c r="O52" s="22">
        <v>0.57408917890157696</v>
      </c>
      <c r="P52" s="22">
        <v>0.58245595464138511</v>
      </c>
      <c r="Q52" s="22">
        <v>0.5715611047068565</v>
      </c>
      <c r="R52" s="22">
        <v>0.56230961719685202</v>
      </c>
      <c r="S52" s="22">
        <v>0.55402587203595033</v>
      </c>
      <c r="T52" s="22">
        <v>0.55376224487607284</v>
      </c>
      <c r="U52" s="22">
        <v>0.57285685338140069</v>
      </c>
      <c r="V52" s="22">
        <v>0.57404486080826023</v>
      </c>
      <c r="W52" s="22">
        <v>0.57391115945489435</v>
      </c>
      <c r="X52" s="22">
        <v>0.57206708134500017</v>
      </c>
      <c r="Y52" s="22">
        <v>0.56617366902043098</v>
      </c>
      <c r="Z52" s="22">
        <v>0.56597411721724955</v>
      </c>
      <c r="AA52" s="22">
        <v>0.57332289147291116</v>
      </c>
      <c r="AB52" s="22">
        <v>0.58393583487943157</v>
      </c>
      <c r="AC52" s="22">
        <v>0.57529593277434188</v>
      </c>
      <c r="AD52" s="22">
        <v>0.57905979703276056</v>
      </c>
      <c r="AE52" s="22">
        <v>0.58012873227139361</v>
      </c>
      <c r="AF52" s="22">
        <v>0.58610706259109169</v>
      </c>
      <c r="AG52" s="22">
        <v>0.58676111961297328</v>
      </c>
      <c r="AH52" s="22">
        <v>0.59963496193973587</v>
      </c>
      <c r="AI52" s="22">
        <v>0.60479205908792943</v>
      </c>
      <c r="AJ52" s="22">
        <v>0.60781729524098638</v>
      </c>
      <c r="AK52" s="22">
        <v>0.60923171821458977</v>
      </c>
      <c r="AL52" s="22">
        <v>0.61479268339849336</v>
      </c>
      <c r="AM52" s="22">
        <v>0.62215666722095442</v>
      </c>
      <c r="AN52" s="22">
        <v>0.62033109968872502</v>
      </c>
      <c r="AO52" s="22">
        <v>0.61517537359515873</v>
      </c>
      <c r="AP52" s="22">
        <v>0.62665006904783682</v>
      </c>
      <c r="AQ52" s="22">
        <v>0.61782926531058768</v>
      </c>
      <c r="AR52" s="22">
        <v>0.61634510475213933</v>
      </c>
      <c r="AS52" s="22">
        <v>0.6054851352084577</v>
      </c>
      <c r="AT52" s="22">
        <v>0.60167109459119406</v>
      </c>
      <c r="AU52" s="22">
        <v>0.60476252786957752</v>
      </c>
      <c r="AV52" s="22">
        <v>0.61036801075699132</v>
      </c>
      <c r="AW52" s="22">
        <v>0.61657006353740829</v>
      </c>
      <c r="AX52" s="22">
        <v>0.62064511911452469</v>
      </c>
      <c r="AY52" s="22">
        <v>0.6225104300338381</v>
      </c>
      <c r="AZ52" s="22">
        <v>0.62554990757855822</v>
      </c>
      <c r="BA52" s="22">
        <v>0.62837524397614708</v>
      </c>
      <c r="BB52" s="22">
        <v>0.63622686101451431</v>
      </c>
      <c r="BC52" s="22">
        <v>0.79884879261319053</v>
      </c>
      <c r="BD52" s="22">
        <v>0.79378621897093438</v>
      </c>
      <c r="BE52" s="22">
        <v>0.79528402011905308</v>
      </c>
      <c r="BF52" s="22">
        <v>0.86962370288725188</v>
      </c>
      <c r="BG52" s="22">
        <v>0.90713363285736837</v>
      </c>
      <c r="BH52" s="22">
        <v>0.91405265696274873</v>
      </c>
      <c r="BI52" s="22">
        <v>0.87055342298389438</v>
      </c>
      <c r="BJ52" s="22">
        <v>0.87280945257313813</v>
      </c>
      <c r="BK52" s="22">
        <v>0.85523213184403479</v>
      </c>
      <c r="BL52" s="22">
        <v>0.84193704795266888</v>
      </c>
      <c r="BM52" s="22">
        <v>0.83128175475184052</v>
      </c>
      <c r="BN52" s="22">
        <v>0.82261758604271529</v>
      </c>
      <c r="BO52" s="22">
        <v>0.81834632107548089</v>
      </c>
      <c r="BP52" s="22">
        <v>0.80222860055388789</v>
      </c>
      <c r="BQ52" s="22">
        <v>0.80396185303213463</v>
      </c>
      <c r="BR52" s="22">
        <v>0.80647686351417613</v>
      </c>
      <c r="BS52" s="22">
        <v>0.82160596811050468</v>
      </c>
      <c r="BT52" s="22">
        <v>0.84419438792549206</v>
      </c>
      <c r="BU52" s="22">
        <v>0.86874160771333164</v>
      </c>
      <c r="BV52" s="22">
        <v>0.86786049718661951</v>
      </c>
      <c r="BW52" s="22">
        <v>0.86494832291795953</v>
      </c>
      <c r="BX52" s="22">
        <v>0.88443277126421638</v>
      </c>
      <c r="BY52" s="22">
        <v>0.87706937473930646</v>
      </c>
      <c r="BZ52" s="22">
        <v>0.87982872087080921</v>
      </c>
    </row>
    <row r="53" spans="1:78" ht="15.5" x14ac:dyDescent="0.3">
      <c r="A53" s="21" t="s">
        <v>11</v>
      </c>
      <c r="B53" s="20" t="s">
        <v>8</v>
      </c>
      <c r="C53" s="20" t="s">
        <v>8</v>
      </c>
      <c r="D53" s="20" t="s">
        <v>8</v>
      </c>
      <c r="E53" s="20" t="s">
        <v>8</v>
      </c>
      <c r="F53" s="20" t="s">
        <v>8</v>
      </c>
      <c r="G53" s="20" t="s">
        <v>8</v>
      </c>
      <c r="H53" s="20" t="s">
        <v>8</v>
      </c>
      <c r="I53" s="20" t="s">
        <v>8</v>
      </c>
      <c r="J53" s="20" t="s">
        <v>8</v>
      </c>
      <c r="K53" s="20" t="s">
        <v>8</v>
      </c>
      <c r="L53" s="20" t="s">
        <v>8</v>
      </c>
      <c r="M53" s="20" t="s">
        <v>8</v>
      </c>
      <c r="N53" s="20" t="s">
        <v>8</v>
      </c>
      <c r="O53" s="20" t="s">
        <v>8</v>
      </c>
      <c r="P53" s="20" t="s">
        <v>8</v>
      </c>
      <c r="Q53" s="20" t="s">
        <v>8</v>
      </c>
      <c r="R53" s="20" t="s">
        <v>8</v>
      </c>
      <c r="S53" s="20" t="s">
        <v>8</v>
      </c>
      <c r="T53" s="20" t="s">
        <v>8</v>
      </c>
      <c r="U53" s="20" t="s">
        <v>8</v>
      </c>
      <c r="V53" s="20" t="s">
        <v>8</v>
      </c>
      <c r="W53" s="20" t="s">
        <v>8</v>
      </c>
      <c r="X53" s="20" t="s">
        <v>8</v>
      </c>
      <c r="Y53" s="20" t="s">
        <v>8</v>
      </c>
      <c r="Z53" s="20" t="s">
        <v>8</v>
      </c>
      <c r="AA53" s="20" t="s">
        <v>8</v>
      </c>
      <c r="AB53" s="20" t="s">
        <v>8</v>
      </c>
      <c r="AC53" s="20" t="s">
        <v>8</v>
      </c>
      <c r="AD53" s="20" t="s">
        <v>8</v>
      </c>
      <c r="AE53" s="20" t="s">
        <v>8</v>
      </c>
      <c r="AF53" s="20" t="s">
        <v>8</v>
      </c>
      <c r="AG53" s="20" t="s">
        <v>8</v>
      </c>
      <c r="AH53" s="20" t="s">
        <v>8</v>
      </c>
      <c r="AI53" s="20" t="s">
        <v>8</v>
      </c>
      <c r="AJ53" s="20" t="s">
        <v>8</v>
      </c>
      <c r="AK53" s="20" t="s">
        <v>8</v>
      </c>
      <c r="AL53" s="20" t="s">
        <v>8</v>
      </c>
      <c r="AM53" s="20" t="s">
        <v>8</v>
      </c>
      <c r="AN53" s="20" t="s">
        <v>8</v>
      </c>
      <c r="AO53" s="20" t="s">
        <v>8</v>
      </c>
      <c r="AP53" s="20" t="s">
        <v>8</v>
      </c>
      <c r="AQ53" s="20" t="s">
        <v>8</v>
      </c>
      <c r="AR53" s="20" t="s">
        <v>8</v>
      </c>
      <c r="AS53" s="20" t="s">
        <v>8</v>
      </c>
      <c r="AT53" s="20" t="s">
        <v>8</v>
      </c>
      <c r="AU53" s="20" t="s">
        <v>8</v>
      </c>
      <c r="AV53" s="20" t="s">
        <v>8</v>
      </c>
      <c r="AW53" s="20" t="s">
        <v>8</v>
      </c>
      <c r="AX53" s="20" t="s">
        <v>8</v>
      </c>
      <c r="AY53" s="20" t="s">
        <v>8</v>
      </c>
      <c r="AZ53" s="20" t="s">
        <v>8</v>
      </c>
      <c r="BA53" s="20" t="s">
        <v>8</v>
      </c>
      <c r="BB53" s="19">
        <v>32074</v>
      </c>
      <c r="BC53" s="19">
        <v>59616</v>
      </c>
      <c r="BD53" s="18">
        <v>88287</v>
      </c>
      <c r="BE53" s="18">
        <v>64137</v>
      </c>
      <c r="BF53" s="18">
        <v>73079</v>
      </c>
      <c r="BG53" s="18">
        <v>74395</v>
      </c>
      <c r="BH53" s="18">
        <v>77524</v>
      </c>
      <c r="BI53" s="18">
        <v>67372</v>
      </c>
      <c r="BJ53" s="18">
        <v>62802</v>
      </c>
      <c r="BK53" s="18">
        <v>63807</v>
      </c>
      <c r="BL53" s="18">
        <v>62650</v>
      </c>
      <c r="BM53" s="18">
        <v>64863</v>
      </c>
      <c r="BN53" s="18">
        <v>58978</v>
      </c>
      <c r="BO53" s="18">
        <v>67909</v>
      </c>
      <c r="BP53" s="18">
        <v>58878</v>
      </c>
      <c r="BQ53" s="18">
        <v>56711</v>
      </c>
      <c r="BR53" s="18">
        <v>48096</v>
      </c>
      <c r="BS53" s="18">
        <v>51868</v>
      </c>
      <c r="BT53" s="18">
        <v>57141</v>
      </c>
      <c r="BU53" s="18">
        <v>61384</v>
      </c>
      <c r="BV53" s="18">
        <v>59812</v>
      </c>
      <c r="BW53" s="18">
        <v>56432</v>
      </c>
      <c r="BX53" s="17" t="s">
        <v>7</v>
      </c>
      <c r="BY53" s="17" t="s">
        <v>7</v>
      </c>
      <c r="BZ53" s="17" t="s">
        <v>7</v>
      </c>
    </row>
    <row r="54" spans="1:78" x14ac:dyDescent="0.3">
      <c r="A54" s="16" t="s">
        <v>10</v>
      </c>
      <c r="B54" s="15" t="s">
        <v>8</v>
      </c>
      <c r="C54" s="15" t="s">
        <v>8</v>
      </c>
      <c r="D54" s="15" t="s">
        <v>8</v>
      </c>
      <c r="E54" s="15" t="s">
        <v>8</v>
      </c>
      <c r="F54" s="15" t="s">
        <v>8</v>
      </c>
      <c r="G54" s="15" t="s">
        <v>8</v>
      </c>
      <c r="H54" s="15" t="s">
        <v>8</v>
      </c>
      <c r="I54" s="15" t="s">
        <v>8</v>
      </c>
      <c r="J54" s="15" t="s">
        <v>8</v>
      </c>
      <c r="K54" s="15" t="s">
        <v>8</v>
      </c>
      <c r="L54" s="15" t="s">
        <v>8</v>
      </c>
      <c r="M54" s="15" t="s">
        <v>8</v>
      </c>
      <c r="N54" s="15" t="s">
        <v>8</v>
      </c>
      <c r="O54" s="15" t="s">
        <v>8</v>
      </c>
      <c r="P54" s="15" t="s">
        <v>8</v>
      </c>
      <c r="Q54" s="15" t="s">
        <v>8</v>
      </c>
      <c r="R54" s="15" t="s">
        <v>8</v>
      </c>
      <c r="S54" s="15" t="s">
        <v>8</v>
      </c>
      <c r="T54" s="15" t="s">
        <v>8</v>
      </c>
      <c r="U54" s="15" t="s">
        <v>8</v>
      </c>
      <c r="V54" s="15" t="s">
        <v>8</v>
      </c>
      <c r="W54" s="15" t="s">
        <v>8</v>
      </c>
      <c r="X54" s="15" t="s">
        <v>8</v>
      </c>
      <c r="Y54" s="15" t="s">
        <v>8</v>
      </c>
      <c r="Z54" s="15" t="s">
        <v>8</v>
      </c>
      <c r="AA54" s="15" t="s">
        <v>8</v>
      </c>
      <c r="AB54" s="15" t="s">
        <v>8</v>
      </c>
      <c r="AC54" s="15" t="s">
        <v>8</v>
      </c>
      <c r="AD54" s="15" t="s">
        <v>8</v>
      </c>
      <c r="AE54" s="15" t="s">
        <v>8</v>
      </c>
      <c r="AF54" s="15" t="s">
        <v>8</v>
      </c>
      <c r="AG54" s="15" t="s">
        <v>8</v>
      </c>
      <c r="AH54" s="15" t="s">
        <v>8</v>
      </c>
      <c r="AI54" s="15" t="s">
        <v>8</v>
      </c>
      <c r="AJ54" s="15" t="s">
        <v>8</v>
      </c>
      <c r="AK54" s="15" t="s">
        <v>8</v>
      </c>
      <c r="AL54" s="15" t="s">
        <v>8</v>
      </c>
      <c r="AM54" s="15" t="s">
        <v>8</v>
      </c>
      <c r="AN54" s="15" t="s">
        <v>8</v>
      </c>
      <c r="AO54" s="15" t="s">
        <v>8</v>
      </c>
      <c r="AP54" s="15" t="s">
        <v>8</v>
      </c>
      <c r="AQ54" s="15" t="s">
        <v>8</v>
      </c>
      <c r="AR54" s="15" t="s">
        <v>8</v>
      </c>
      <c r="AS54" s="15" t="s">
        <v>8</v>
      </c>
      <c r="AT54" s="15" t="s">
        <v>8</v>
      </c>
      <c r="AU54" s="15" t="s">
        <v>8</v>
      </c>
      <c r="AV54" s="15" t="s">
        <v>8</v>
      </c>
      <c r="AW54" s="15" t="s">
        <v>8</v>
      </c>
      <c r="AX54" s="15" t="s">
        <v>8</v>
      </c>
      <c r="AY54" s="15" t="s">
        <v>8</v>
      </c>
      <c r="AZ54" s="15" t="s">
        <v>8</v>
      </c>
      <c r="BA54" s="15" t="s">
        <v>8</v>
      </c>
      <c r="BB54" s="1118">
        <v>297429.8</v>
      </c>
      <c r="BC54" s="1118">
        <v>322180.2</v>
      </c>
      <c r="BD54" s="14">
        <v>280317.95</v>
      </c>
      <c r="BE54" s="14">
        <v>297789.59999999998</v>
      </c>
      <c r="BF54" s="14">
        <v>315100.14999999997</v>
      </c>
      <c r="BG54" s="14">
        <v>344962.89999999997</v>
      </c>
      <c r="BH54" s="14">
        <v>352692.25</v>
      </c>
      <c r="BI54" s="14">
        <v>354452.92000000004</v>
      </c>
      <c r="BJ54" s="14">
        <v>373613.19999999995</v>
      </c>
      <c r="BK54" s="14">
        <v>385487.49</v>
      </c>
      <c r="BL54" s="14">
        <v>397852.51999999996</v>
      </c>
      <c r="BM54" s="14">
        <v>410271.05</v>
      </c>
      <c r="BN54" s="14">
        <v>424786.95</v>
      </c>
      <c r="BO54" s="14">
        <v>427657.80000000005</v>
      </c>
      <c r="BP54" s="14">
        <v>438488.49</v>
      </c>
      <c r="BQ54" s="14">
        <v>455420.74000000011</v>
      </c>
      <c r="BR54" s="14">
        <v>476629.30000000005</v>
      </c>
      <c r="BS54" s="14">
        <v>494280.60000000009</v>
      </c>
      <c r="BT54" s="14">
        <v>516668.9</v>
      </c>
      <c r="BU54" s="14">
        <v>540953.64999999991</v>
      </c>
      <c r="BV54" s="14">
        <v>551896</v>
      </c>
      <c r="BW54" s="14">
        <v>563778.32999999996</v>
      </c>
      <c r="BX54" s="13" t="s">
        <v>7</v>
      </c>
      <c r="BY54" s="13" t="s">
        <v>7</v>
      </c>
      <c r="BZ54" s="13" t="s">
        <v>7</v>
      </c>
    </row>
    <row r="55" spans="1:78" s="8" customFormat="1" ht="15.65" customHeight="1" x14ac:dyDescent="0.35">
      <c r="A55" s="12" t="s">
        <v>9</v>
      </c>
      <c r="B55" s="11" t="s">
        <v>8</v>
      </c>
      <c r="C55" s="11" t="s">
        <v>8</v>
      </c>
      <c r="D55" s="11" t="s">
        <v>8</v>
      </c>
      <c r="E55" s="11" t="s">
        <v>8</v>
      </c>
      <c r="F55" s="11" t="s">
        <v>8</v>
      </c>
      <c r="G55" s="11" t="s">
        <v>8</v>
      </c>
      <c r="H55" s="11" t="s">
        <v>8</v>
      </c>
      <c r="I55" s="11" t="s">
        <v>8</v>
      </c>
      <c r="J55" s="11" t="s">
        <v>8</v>
      </c>
      <c r="K55" s="11" t="s">
        <v>8</v>
      </c>
      <c r="L55" s="11" t="s">
        <v>8</v>
      </c>
      <c r="M55" s="11" t="s">
        <v>8</v>
      </c>
      <c r="N55" s="11" t="s">
        <v>8</v>
      </c>
      <c r="O55" s="11" t="s">
        <v>8</v>
      </c>
      <c r="P55" s="11" t="s">
        <v>8</v>
      </c>
      <c r="Q55" s="11" t="s">
        <v>8</v>
      </c>
      <c r="R55" s="11" t="s">
        <v>8</v>
      </c>
      <c r="S55" s="11" t="s">
        <v>8</v>
      </c>
      <c r="T55" s="11" t="s">
        <v>8</v>
      </c>
      <c r="U55" s="11" t="s">
        <v>8</v>
      </c>
      <c r="V55" s="11" t="s">
        <v>8</v>
      </c>
      <c r="W55" s="11" t="s">
        <v>8</v>
      </c>
      <c r="X55" s="11" t="s">
        <v>8</v>
      </c>
      <c r="Y55" s="11" t="s">
        <v>8</v>
      </c>
      <c r="Z55" s="11" t="s">
        <v>8</v>
      </c>
      <c r="AA55" s="11" t="s">
        <v>8</v>
      </c>
      <c r="AB55" s="11" t="s">
        <v>8</v>
      </c>
      <c r="AC55" s="11" t="s">
        <v>8</v>
      </c>
      <c r="AD55" s="11" t="s">
        <v>8</v>
      </c>
      <c r="AE55" s="11" t="s">
        <v>8</v>
      </c>
      <c r="AF55" s="11" t="s">
        <v>8</v>
      </c>
      <c r="AG55" s="11" t="s">
        <v>8</v>
      </c>
      <c r="AH55" s="11" t="s">
        <v>8</v>
      </c>
      <c r="AI55" s="11" t="s">
        <v>8</v>
      </c>
      <c r="AJ55" s="11" t="s">
        <v>8</v>
      </c>
      <c r="AK55" s="11" t="s">
        <v>8</v>
      </c>
      <c r="AL55" s="11" t="s">
        <v>8</v>
      </c>
      <c r="AM55" s="11" t="s">
        <v>8</v>
      </c>
      <c r="AN55" s="11" t="s">
        <v>8</v>
      </c>
      <c r="AO55" s="11" t="s">
        <v>8</v>
      </c>
      <c r="AP55" s="11" t="s">
        <v>8</v>
      </c>
      <c r="AQ55" s="11" t="s">
        <v>8</v>
      </c>
      <c r="AR55" s="11" t="s">
        <v>8</v>
      </c>
      <c r="AS55" s="11" t="s">
        <v>8</v>
      </c>
      <c r="AT55" s="11" t="s">
        <v>8</v>
      </c>
      <c r="AU55" s="11" t="s">
        <v>8</v>
      </c>
      <c r="AV55" s="11" t="s">
        <v>8</v>
      </c>
      <c r="AW55" s="11" t="s">
        <v>8</v>
      </c>
      <c r="AX55" s="11" t="s">
        <v>8</v>
      </c>
      <c r="AY55" s="11" t="s">
        <v>8</v>
      </c>
      <c r="AZ55" s="11" t="s">
        <v>8</v>
      </c>
      <c r="BA55" s="11" t="s">
        <v>8</v>
      </c>
      <c r="BB55" s="10">
        <v>0.57429634506847804</v>
      </c>
      <c r="BC55" s="10">
        <v>0.67411164326380479</v>
      </c>
      <c r="BD55" s="10">
        <v>0.60366125208080745</v>
      </c>
      <c r="BE55" s="10">
        <v>0.65435176700923547</v>
      </c>
      <c r="BF55" s="10">
        <v>0.7059074636629209</v>
      </c>
      <c r="BG55" s="10">
        <v>0.74620616108105531</v>
      </c>
      <c r="BH55" s="10">
        <v>0.74934242535624829</v>
      </c>
      <c r="BI55" s="10">
        <v>0.73151250237334597</v>
      </c>
      <c r="BJ55" s="10">
        <v>0.747208466996792</v>
      </c>
      <c r="BK55" s="10">
        <v>0.7337754973845908</v>
      </c>
      <c r="BL55" s="10">
        <v>0.72739401341241339</v>
      </c>
      <c r="BM55" s="10">
        <v>0.71779919449654284</v>
      </c>
      <c r="BN55" s="10">
        <v>0.72232850972656781</v>
      </c>
      <c r="BO55" s="10">
        <v>0.70620587841888072</v>
      </c>
      <c r="BP55" s="10">
        <v>0.70726117413275569</v>
      </c>
      <c r="BQ55" s="10">
        <v>0.714934993171222</v>
      </c>
      <c r="BR55" s="10">
        <v>0.73255568756253475</v>
      </c>
      <c r="BS55" s="10">
        <v>0.74357764696502215</v>
      </c>
      <c r="BT55" s="10">
        <v>0.76012802462215678</v>
      </c>
      <c r="BU55" s="10">
        <v>0.78020848206881122</v>
      </c>
      <c r="BV55" s="10">
        <v>0.7830022444619108</v>
      </c>
      <c r="BW55" s="10">
        <v>0.786247983052762</v>
      </c>
      <c r="BX55" s="9" t="s">
        <v>7</v>
      </c>
      <c r="BY55" s="9" t="s">
        <v>7</v>
      </c>
      <c r="BZ55" s="9" t="s">
        <v>7</v>
      </c>
    </row>
    <row r="56" spans="1:78" ht="13.65" customHeight="1" x14ac:dyDescent="0.3">
      <c r="A56" s="7" t="s">
        <v>6</v>
      </c>
      <c r="B56" s="6">
        <v>153723</v>
      </c>
      <c r="C56" s="6">
        <v>171341</v>
      </c>
      <c r="D56" s="6">
        <v>185312</v>
      </c>
      <c r="E56" s="6">
        <v>205498</v>
      </c>
      <c r="F56" s="6">
        <v>238263</v>
      </c>
      <c r="G56" s="6">
        <v>271458</v>
      </c>
      <c r="H56" s="6">
        <v>278378</v>
      </c>
      <c r="I56" s="6">
        <v>284254</v>
      </c>
      <c r="J56" s="6">
        <v>285266</v>
      </c>
      <c r="K56" s="6">
        <v>286835</v>
      </c>
      <c r="L56" s="6">
        <v>288005</v>
      </c>
      <c r="M56" s="6">
        <v>291756</v>
      </c>
      <c r="N56" s="6">
        <v>294904</v>
      </c>
      <c r="O56" s="6">
        <v>297918</v>
      </c>
      <c r="P56" s="6">
        <v>302302</v>
      </c>
      <c r="Q56" s="6">
        <v>307955</v>
      </c>
      <c r="R56" s="6">
        <v>314104</v>
      </c>
      <c r="S56" s="6">
        <v>320887</v>
      </c>
      <c r="T56" s="6">
        <v>326361</v>
      </c>
      <c r="U56" s="6">
        <v>330647</v>
      </c>
      <c r="V56" s="6">
        <v>334323</v>
      </c>
      <c r="W56" s="6">
        <v>339237</v>
      </c>
      <c r="X56" s="6">
        <v>343881</v>
      </c>
      <c r="Y56" s="6">
        <v>350644</v>
      </c>
      <c r="Z56" s="6">
        <v>355835</v>
      </c>
      <c r="AA56" s="6">
        <v>361366</v>
      </c>
      <c r="AB56" s="6">
        <v>367053</v>
      </c>
      <c r="AC56" s="6">
        <v>381759</v>
      </c>
      <c r="AD56" s="6">
        <v>386959</v>
      </c>
      <c r="AE56" s="6">
        <v>393996</v>
      </c>
      <c r="AF56" s="6">
        <v>400009</v>
      </c>
      <c r="AG56" s="6">
        <v>405140</v>
      </c>
      <c r="AH56" s="6">
        <v>411190</v>
      </c>
      <c r="AI56" s="6">
        <v>415997</v>
      </c>
      <c r="AJ56" s="6">
        <v>421642</v>
      </c>
      <c r="AK56" s="6">
        <v>426367</v>
      </c>
      <c r="AL56" s="6">
        <v>432848</v>
      </c>
      <c r="AM56" s="6">
        <v>439468</v>
      </c>
      <c r="AN56" s="6">
        <v>445908</v>
      </c>
      <c r="AO56" s="6">
        <v>453432</v>
      </c>
      <c r="AP56" s="6">
        <v>459102</v>
      </c>
      <c r="AQ56" s="6">
        <v>466197</v>
      </c>
      <c r="AR56" s="6">
        <v>472019</v>
      </c>
      <c r="AS56" s="6">
        <v>479186</v>
      </c>
      <c r="AT56" s="6">
        <v>484802</v>
      </c>
      <c r="AU56" s="6">
        <v>492921</v>
      </c>
      <c r="AV56" s="6">
        <v>499768</v>
      </c>
      <c r="AW56" s="6">
        <v>507575</v>
      </c>
      <c r="AX56" s="6">
        <v>512448</v>
      </c>
      <c r="AY56" s="6">
        <v>515099</v>
      </c>
      <c r="AZ56" s="6">
        <v>519360</v>
      </c>
      <c r="BA56" s="6">
        <v>519518</v>
      </c>
      <c r="BB56" s="6">
        <v>517903</v>
      </c>
      <c r="BC56" s="6">
        <v>477933</v>
      </c>
      <c r="BD56" s="6">
        <v>464363</v>
      </c>
      <c r="BE56" s="6">
        <v>455091</v>
      </c>
      <c r="BF56" s="6">
        <v>446376</v>
      </c>
      <c r="BG56" s="6">
        <v>462289</v>
      </c>
      <c r="BH56" s="6">
        <v>470669</v>
      </c>
      <c r="BI56" s="6">
        <v>484548</v>
      </c>
      <c r="BJ56" s="6">
        <v>500012</v>
      </c>
      <c r="BK56" s="6">
        <v>525348</v>
      </c>
      <c r="BL56" s="6">
        <v>546956</v>
      </c>
      <c r="BM56" s="6">
        <v>571568</v>
      </c>
      <c r="BN56" s="6">
        <v>588080</v>
      </c>
      <c r="BO56" s="6">
        <v>605571</v>
      </c>
      <c r="BP56" s="6">
        <v>619981</v>
      </c>
      <c r="BQ56" s="6">
        <v>637010</v>
      </c>
      <c r="BR56" s="6">
        <v>650639</v>
      </c>
      <c r="BS56" s="6">
        <v>664733</v>
      </c>
      <c r="BT56" s="1120">
        <v>679713</v>
      </c>
      <c r="BU56" s="1120">
        <v>693345</v>
      </c>
      <c r="BV56" s="1121">
        <v>704846</v>
      </c>
      <c r="BW56" s="1121">
        <v>717049</v>
      </c>
      <c r="BX56" s="1121">
        <v>728736</v>
      </c>
      <c r="BY56" s="1121">
        <v>743210</v>
      </c>
      <c r="BZ56" s="1121">
        <v>754930</v>
      </c>
    </row>
    <row r="57" spans="1:78" ht="6.15" customHeight="1" x14ac:dyDescent="0.3"/>
    <row r="58" spans="1:78" ht="11.25" customHeight="1" x14ac:dyDescent="0.3">
      <c r="A58" s="1216" t="s">
        <v>5</v>
      </c>
      <c r="B58" s="1216"/>
      <c r="C58" s="1216"/>
      <c r="D58" s="1216"/>
      <c r="E58" s="1216"/>
      <c r="F58" s="1216"/>
      <c r="G58" s="1216"/>
      <c r="H58" s="1216"/>
      <c r="I58" s="1216"/>
      <c r="J58" s="1216"/>
      <c r="K58" s="1216"/>
      <c r="L58" s="1216"/>
      <c r="M58" s="1216"/>
      <c r="N58" s="1216"/>
      <c r="O58" s="1216"/>
      <c r="P58" s="1216"/>
      <c r="Q58" s="1216"/>
      <c r="R58" s="1216"/>
      <c r="S58" s="1216"/>
      <c r="T58" s="1216"/>
      <c r="U58" s="1216"/>
      <c r="V58" s="1216"/>
      <c r="W58" s="1216"/>
      <c r="X58" s="1216"/>
      <c r="Y58" s="1216"/>
      <c r="Z58" s="1216"/>
      <c r="AA58" s="1216"/>
      <c r="AB58" s="1216"/>
      <c r="AC58" s="1216"/>
      <c r="AD58" s="1216"/>
      <c r="AE58" s="1216"/>
      <c r="AF58" s="1216"/>
      <c r="AG58" s="1216"/>
      <c r="AH58" s="1216"/>
      <c r="AI58" s="1216"/>
      <c r="AJ58" s="1216"/>
      <c r="AK58" s="1216"/>
      <c r="AL58" s="1216"/>
      <c r="AM58" s="1216"/>
      <c r="AN58" s="1216"/>
      <c r="AO58" s="1216"/>
      <c r="AP58" s="1216"/>
      <c r="AQ58" s="1216"/>
      <c r="AR58" s="1216"/>
      <c r="AS58" s="1216"/>
      <c r="AT58" s="1216"/>
      <c r="AU58" s="1216"/>
      <c r="AV58" s="1216"/>
      <c r="AW58" s="1216"/>
      <c r="AX58" s="1216"/>
      <c r="AY58" s="1216"/>
      <c r="AZ58" s="1216"/>
      <c r="BA58" s="1216"/>
      <c r="BB58" s="1216"/>
      <c r="BC58" s="1216"/>
      <c r="BD58" s="1216"/>
      <c r="BE58" s="1216"/>
      <c r="BF58" s="1216"/>
      <c r="BG58" s="1216"/>
      <c r="BH58" s="1216"/>
      <c r="BI58" s="1216"/>
      <c r="BJ58" s="1216"/>
      <c r="BK58" s="1216"/>
      <c r="BL58" s="1216"/>
      <c r="BM58" s="1216"/>
      <c r="BN58" s="1216"/>
      <c r="BO58" s="1216"/>
      <c r="BP58" s="1216"/>
      <c r="BQ58" s="1216"/>
      <c r="BR58" s="1216"/>
      <c r="BS58" s="1216"/>
      <c r="BT58" s="1216"/>
      <c r="BU58" s="1216"/>
      <c r="BV58" s="1216"/>
      <c r="BW58" s="1216"/>
      <c r="BX58" s="1216"/>
      <c r="BY58" s="1216"/>
      <c r="BZ58" s="1216"/>
    </row>
    <row r="59" spans="1:78" ht="11.25" customHeight="1" x14ac:dyDescent="0.3">
      <c r="A59" s="1214" t="s">
        <v>1014</v>
      </c>
      <c r="B59" s="1214"/>
      <c r="C59" s="1214"/>
      <c r="D59" s="1214"/>
      <c r="E59" s="1214"/>
      <c r="F59" s="1214"/>
      <c r="G59" s="1214"/>
      <c r="H59" s="1214"/>
      <c r="I59" s="1214"/>
      <c r="J59" s="1214"/>
      <c r="K59" s="1214"/>
      <c r="L59" s="1214"/>
      <c r="M59" s="1214"/>
      <c r="N59" s="1214"/>
      <c r="O59" s="1214"/>
      <c r="P59" s="1214"/>
      <c r="Q59" s="1214"/>
      <c r="R59" s="1214"/>
      <c r="S59" s="1214"/>
      <c r="T59" s="1214"/>
      <c r="U59" s="1214"/>
      <c r="V59" s="1214"/>
      <c r="W59" s="1214"/>
      <c r="X59" s="1214"/>
      <c r="Y59" s="1214"/>
      <c r="Z59" s="1214"/>
      <c r="AA59" s="1214"/>
      <c r="AB59" s="1214"/>
      <c r="AC59" s="1214"/>
      <c r="AD59" s="1214"/>
      <c r="AE59" s="1214"/>
      <c r="AF59" s="1214"/>
      <c r="AG59" s="1214"/>
      <c r="AH59" s="1214"/>
      <c r="AI59" s="1214"/>
      <c r="AJ59" s="1214"/>
      <c r="AK59" s="1214"/>
      <c r="AL59" s="1214"/>
      <c r="AM59" s="1214"/>
      <c r="AN59" s="1214"/>
      <c r="AO59" s="1214"/>
      <c r="AP59" s="1214"/>
      <c r="AQ59" s="1214"/>
      <c r="AR59" s="1214"/>
      <c r="AS59" s="1214"/>
      <c r="AT59" s="1214"/>
      <c r="AU59" s="1214"/>
      <c r="AV59" s="1214"/>
      <c r="AW59" s="1214"/>
      <c r="AX59" s="1214"/>
      <c r="AY59" s="1214"/>
      <c r="AZ59" s="1214"/>
      <c r="BA59" s="1214"/>
      <c r="BB59" s="1214"/>
      <c r="BC59" s="1214"/>
      <c r="BD59" s="1214"/>
      <c r="BE59" s="1214"/>
      <c r="BF59" s="1214"/>
      <c r="BG59" s="1214"/>
      <c r="BH59" s="1214"/>
      <c r="BI59" s="1214"/>
      <c r="BJ59" s="1214"/>
      <c r="BK59" s="1214"/>
      <c r="BL59" s="1214"/>
      <c r="BM59" s="1214"/>
      <c r="BN59" s="1214"/>
      <c r="BO59" s="1214"/>
      <c r="BP59" s="1214"/>
      <c r="BQ59" s="1214"/>
      <c r="BR59" s="1214"/>
      <c r="BS59" s="1214"/>
      <c r="BT59" s="1214"/>
      <c r="BU59" s="1214"/>
      <c r="BV59" s="1214"/>
      <c r="BW59" s="1214"/>
      <c r="BX59" s="1214"/>
      <c r="BY59" s="1214"/>
      <c r="BZ59" s="1214"/>
    </row>
    <row r="60" spans="1:78" ht="11.25" customHeight="1" x14ac:dyDescent="0.3">
      <c r="A60" s="1214" t="s">
        <v>995</v>
      </c>
      <c r="B60" s="1214"/>
      <c r="C60" s="1214"/>
      <c r="D60" s="1214"/>
      <c r="E60" s="1214"/>
      <c r="F60" s="1214"/>
      <c r="G60" s="1214"/>
      <c r="H60" s="1214"/>
      <c r="I60" s="1214"/>
      <c r="J60" s="1214"/>
      <c r="K60" s="1214"/>
      <c r="L60" s="1214"/>
      <c r="M60" s="1214"/>
      <c r="N60" s="1214"/>
      <c r="O60" s="1214"/>
      <c r="P60" s="1214"/>
      <c r="Q60" s="1214"/>
      <c r="R60" s="1214"/>
      <c r="S60" s="1214"/>
      <c r="T60" s="1214"/>
      <c r="U60" s="1214"/>
      <c r="V60" s="1214"/>
      <c r="W60" s="1214"/>
      <c r="X60" s="1214"/>
      <c r="Y60" s="1214"/>
      <c r="Z60" s="1214"/>
      <c r="AA60" s="1214"/>
      <c r="AB60" s="1214"/>
      <c r="AC60" s="1214"/>
      <c r="AD60" s="1214"/>
      <c r="AE60" s="1214"/>
      <c r="AF60" s="1214"/>
      <c r="AG60" s="1214"/>
      <c r="AH60" s="1214"/>
      <c r="AI60" s="1214"/>
      <c r="AJ60" s="1214"/>
      <c r="AK60" s="1214"/>
      <c r="AL60" s="1214"/>
      <c r="AM60" s="1214"/>
      <c r="AN60" s="1214"/>
      <c r="AO60" s="1214"/>
      <c r="AP60" s="1214"/>
      <c r="AQ60" s="1214"/>
      <c r="AR60" s="1214"/>
      <c r="AS60" s="1214"/>
      <c r="AT60" s="1214"/>
      <c r="AU60" s="1214"/>
      <c r="AV60" s="1214"/>
      <c r="AW60" s="1214"/>
      <c r="AX60" s="1214"/>
      <c r="AY60" s="1214"/>
      <c r="AZ60" s="1214"/>
      <c r="BA60" s="1214"/>
      <c r="BB60" s="1214"/>
      <c r="BC60" s="1214"/>
      <c r="BD60" s="1214"/>
      <c r="BE60" s="1214"/>
      <c r="BF60" s="1214"/>
      <c r="BG60" s="1214"/>
      <c r="BH60" s="1214"/>
      <c r="BI60" s="1214"/>
      <c r="BJ60" s="1214"/>
      <c r="BK60" s="1214"/>
      <c r="BL60" s="1214"/>
      <c r="BM60" s="1214"/>
      <c r="BN60" s="1214"/>
      <c r="BO60" s="1214"/>
      <c r="BP60" s="1214"/>
      <c r="BQ60" s="1214"/>
      <c r="BR60" s="1214"/>
      <c r="BS60" s="1214"/>
      <c r="BT60" s="1214"/>
      <c r="BU60" s="1214"/>
      <c r="BV60" s="1214"/>
      <c r="BW60" s="1214"/>
      <c r="BX60" s="1214"/>
      <c r="BY60" s="1214"/>
      <c r="BZ60" s="1214"/>
    </row>
    <row r="61" spans="1:78" ht="11.25" customHeight="1" x14ac:dyDescent="0.3">
      <c r="A61" s="1214" t="s">
        <v>4</v>
      </c>
      <c r="B61" s="1214"/>
      <c r="C61" s="1214"/>
      <c r="D61" s="1214"/>
      <c r="E61" s="1214"/>
      <c r="F61" s="1214"/>
      <c r="G61" s="1214"/>
      <c r="H61" s="1214"/>
      <c r="I61" s="1214"/>
      <c r="J61" s="1214"/>
      <c r="K61" s="1214"/>
      <c r="L61" s="1214"/>
      <c r="M61" s="1214"/>
      <c r="N61" s="1214"/>
      <c r="O61" s="1214"/>
      <c r="P61" s="1214"/>
      <c r="Q61" s="1214"/>
      <c r="R61" s="1214"/>
      <c r="S61" s="1214"/>
      <c r="T61" s="1214"/>
      <c r="U61" s="1214"/>
      <c r="V61" s="1214"/>
      <c r="W61" s="1214"/>
      <c r="X61" s="1214"/>
      <c r="Y61" s="1214"/>
      <c r="Z61" s="1214"/>
      <c r="AA61" s="1214"/>
      <c r="AB61" s="1214"/>
      <c r="AC61" s="1214"/>
      <c r="AD61" s="1214"/>
      <c r="AE61" s="1214"/>
      <c r="AF61" s="1214"/>
      <c r="AG61" s="1214"/>
      <c r="AH61" s="1214"/>
      <c r="AI61" s="1214"/>
      <c r="AJ61" s="1214"/>
      <c r="AK61" s="1214"/>
      <c r="AL61" s="1214"/>
      <c r="AM61" s="1214"/>
      <c r="AN61" s="1214"/>
      <c r="AO61" s="1214"/>
      <c r="AP61" s="1214"/>
      <c r="AQ61" s="1214"/>
      <c r="AR61" s="1214"/>
      <c r="AS61" s="1214"/>
      <c r="AT61" s="1214"/>
      <c r="AU61" s="1214"/>
      <c r="AV61" s="1214"/>
      <c r="AW61" s="1214"/>
      <c r="AX61" s="1214"/>
      <c r="AY61" s="1214"/>
      <c r="AZ61" s="1214"/>
      <c r="BA61" s="1214"/>
      <c r="BB61" s="1214"/>
      <c r="BC61" s="1214"/>
      <c r="BD61" s="1214"/>
      <c r="BE61" s="1214"/>
      <c r="BF61" s="1214"/>
      <c r="BG61" s="1214"/>
      <c r="BH61" s="1214"/>
      <c r="BI61" s="1214"/>
      <c r="BJ61" s="1214"/>
      <c r="BK61" s="1214"/>
      <c r="BL61" s="1214"/>
      <c r="BM61" s="1214"/>
      <c r="BN61" s="1214"/>
      <c r="BO61" s="1214"/>
      <c r="BP61" s="1214"/>
      <c r="BQ61" s="1214"/>
      <c r="BR61" s="1214"/>
      <c r="BS61" s="1214"/>
      <c r="BT61" s="1214"/>
      <c r="BU61" s="1214"/>
      <c r="BV61" s="1214"/>
      <c r="BW61" s="1214"/>
      <c r="BX61" s="1214"/>
      <c r="BY61" s="1214"/>
      <c r="BZ61" s="1214"/>
    </row>
    <row r="62" spans="1:78" ht="11.25" customHeight="1" x14ac:dyDescent="0.3">
      <c r="A62" s="1214" t="s">
        <v>992</v>
      </c>
      <c r="B62" s="1214"/>
      <c r="C62" s="1214"/>
      <c r="D62" s="1214"/>
      <c r="E62" s="1214"/>
      <c r="F62" s="1214"/>
      <c r="G62" s="1214"/>
      <c r="H62" s="1214"/>
      <c r="I62" s="1214"/>
      <c r="J62" s="1214"/>
      <c r="K62" s="1214"/>
      <c r="L62" s="1214"/>
      <c r="M62" s="1214"/>
      <c r="N62" s="1214"/>
      <c r="O62" s="1214"/>
      <c r="P62" s="1214"/>
      <c r="Q62" s="1214"/>
      <c r="R62" s="1214"/>
      <c r="S62" s="1214"/>
      <c r="T62" s="1214"/>
      <c r="U62" s="1214"/>
      <c r="V62" s="1214"/>
      <c r="W62" s="1214"/>
      <c r="X62" s="1214"/>
      <c r="Y62" s="1214"/>
      <c r="Z62" s="1214"/>
      <c r="AA62" s="1214"/>
      <c r="AB62" s="1214"/>
      <c r="AC62" s="1214"/>
      <c r="AD62" s="1214"/>
      <c r="AE62" s="1214"/>
      <c r="AF62" s="1214"/>
      <c r="AG62" s="1214"/>
      <c r="AH62" s="1214"/>
      <c r="AI62" s="1214"/>
      <c r="AJ62" s="1214"/>
      <c r="AK62" s="1214"/>
      <c r="AL62" s="1214"/>
      <c r="AM62" s="1214"/>
      <c r="AN62" s="1214"/>
      <c r="AO62" s="1214"/>
      <c r="AP62" s="1214"/>
      <c r="AQ62" s="1214"/>
      <c r="AR62" s="1214"/>
      <c r="AS62" s="1214"/>
      <c r="AT62" s="1214"/>
      <c r="AU62" s="1214"/>
      <c r="AV62" s="1214"/>
      <c r="AW62" s="1214"/>
      <c r="AX62" s="1214"/>
      <c r="AY62" s="1214"/>
      <c r="AZ62" s="1214"/>
      <c r="BA62" s="1214"/>
      <c r="BB62" s="1214"/>
      <c r="BC62" s="1214"/>
      <c r="BD62" s="1214"/>
      <c r="BE62" s="1214"/>
      <c r="BF62" s="1214"/>
      <c r="BG62" s="1214"/>
      <c r="BH62" s="1214"/>
      <c r="BI62" s="1214"/>
      <c r="BJ62" s="1214"/>
      <c r="BK62" s="1214"/>
      <c r="BL62" s="1214"/>
      <c r="BM62" s="1214"/>
      <c r="BN62" s="1214"/>
      <c r="BO62" s="1214"/>
      <c r="BP62" s="1214"/>
      <c r="BQ62" s="1214"/>
      <c r="BR62" s="1214"/>
      <c r="BS62" s="1214"/>
      <c r="BT62" s="1214"/>
      <c r="BU62" s="1214"/>
      <c r="BV62" s="1214"/>
      <c r="BW62" s="1214"/>
      <c r="BX62" s="1214"/>
      <c r="BY62" s="1214"/>
      <c r="BZ62" s="1214"/>
    </row>
    <row r="63" spans="1:78" ht="11.25" customHeight="1" x14ac:dyDescent="0.3">
      <c r="A63" s="1213" t="s">
        <v>3</v>
      </c>
      <c r="B63" s="1213"/>
      <c r="C63" s="1213"/>
      <c r="D63" s="1213"/>
      <c r="E63" s="1213"/>
      <c r="F63" s="1213"/>
      <c r="G63" s="1213"/>
      <c r="H63" s="1213"/>
      <c r="I63" s="1213"/>
      <c r="J63" s="1213"/>
      <c r="K63" s="1213"/>
      <c r="L63" s="1213"/>
      <c r="M63" s="1213"/>
      <c r="N63" s="1213"/>
      <c r="O63" s="1213"/>
      <c r="P63" s="1213"/>
      <c r="Q63" s="1213"/>
      <c r="R63" s="1213"/>
      <c r="S63" s="1213"/>
      <c r="T63" s="1213"/>
      <c r="U63" s="1213"/>
      <c r="V63" s="1213"/>
      <c r="W63" s="1213"/>
      <c r="X63" s="1213"/>
      <c r="Y63" s="1213"/>
      <c r="Z63" s="1213"/>
      <c r="AA63" s="1213"/>
      <c r="AB63" s="1213"/>
      <c r="AC63" s="1213"/>
      <c r="AD63" s="1213"/>
      <c r="AE63" s="1213"/>
      <c r="AF63" s="1213"/>
      <c r="AG63" s="1213"/>
      <c r="AH63" s="1213"/>
      <c r="AI63" s="1213"/>
      <c r="AJ63" s="1213"/>
      <c r="AK63" s="1213"/>
      <c r="AL63" s="1213"/>
      <c r="AM63" s="1213"/>
      <c r="AN63" s="1213"/>
      <c r="AO63" s="1213"/>
      <c r="AP63" s="1213"/>
      <c r="AQ63" s="1213"/>
      <c r="AR63" s="1213"/>
      <c r="AS63" s="1213"/>
      <c r="AT63" s="1213"/>
      <c r="AU63" s="1213"/>
      <c r="AV63" s="1213"/>
      <c r="AW63" s="1213"/>
      <c r="AX63" s="1213"/>
      <c r="AY63" s="1213"/>
      <c r="AZ63" s="1213"/>
      <c r="BA63" s="1213"/>
      <c r="BB63" s="1213"/>
      <c r="BC63" s="1213"/>
      <c r="BD63" s="1213"/>
      <c r="BE63" s="1213"/>
      <c r="BF63" s="1213"/>
      <c r="BG63" s="1213"/>
      <c r="BH63" s="1213"/>
      <c r="BI63" s="1213"/>
      <c r="BJ63" s="1213"/>
      <c r="BK63" s="1213"/>
      <c r="BL63" s="1213"/>
      <c r="BM63" s="1213"/>
      <c r="BN63" s="1213"/>
      <c r="BO63" s="1213"/>
      <c r="BP63" s="1213"/>
      <c r="BQ63" s="1213"/>
      <c r="BR63" s="1213"/>
      <c r="BS63" s="1213"/>
      <c r="BT63" s="1213"/>
      <c r="BU63" s="1213"/>
      <c r="BV63" s="1213"/>
      <c r="BW63" s="1213"/>
      <c r="BX63" s="1213"/>
      <c r="BY63" s="1213"/>
      <c r="BZ63" s="1213"/>
    </row>
    <row r="64" spans="1:78" ht="11.25" customHeight="1" x14ac:dyDescent="0.3">
      <c r="A64" s="1214" t="s">
        <v>2</v>
      </c>
      <c r="B64" s="1214"/>
      <c r="C64" s="1214"/>
      <c r="D64" s="1214"/>
      <c r="E64" s="1214"/>
      <c r="F64" s="1214"/>
      <c r="G64" s="1214"/>
      <c r="H64" s="1214"/>
      <c r="I64" s="1214"/>
      <c r="J64" s="1214"/>
      <c r="K64" s="1214"/>
      <c r="L64" s="1214"/>
      <c r="M64" s="1214"/>
      <c r="N64" s="1214"/>
      <c r="O64" s="1214"/>
      <c r="P64" s="1214"/>
      <c r="Q64" s="1214"/>
      <c r="R64" s="1214"/>
      <c r="S64" s="1214"/>
      <c r="T64" s="1214"/>
      <c r="U64" s="1214"/>
      <c r="V64" s="1214"/>
      <c r="W64" s="1214"/>
      <c r="X64" s="1214"/>
      <c r="Y64" s="1214"/>
      <c r="Z64" s="1214"/>
      <c r="AA64" s="1214"/>
      <c r="AB64" s="1214"/>
      <c r="AC64" s="1214"/>
      <c r="AD64" s="1214"/>
      <c r="AE64" s="1214"/>
      <c r="AF64" s="1214"/>
      <c r="AG64" s="1214"/>
      <c r="AH64" s="1214"/>
      <c r="AI64" s="1214"/>
      <c r="AJ64" s="1214"/>
      <c r="AK64" s="1214"/>
      <c r="AL64" s="1214"/>
      <c r="AM64" s="1214"/>
      <c r="AN64" s="1214"/>
      <c r="AO64" s="1214"/>
      <c r="AP64" s="1214"/>
      <c r="AQ64" s="1214"/>
      <c r="AR64" s="1214"/>
      <c r="AS64" s="1214"/>
      <c r="AT64" s="1214"/>
      <c r="AU64" s="1214"/>
      <c r="AV64" s="1214"/>
      <c r="AW64" s="1214"/>
      <c r="AX64" s="1214"/>
      <c r="AY64" s="1214"/>
      <c r="AZ64" s="1214"/>
      <c r="BA64" s="1214"/>
      <c r="BB64" s="1214"/>
      <c r="BC64" s="1214"/>
      <c r="BD64" s="1214"/>
      <c r="BE64" s="1214"/>
      <c r="BF64" s="1214"/>
      <c r="BG64" s="1214"/>
      <c r="BH64" s="1214"/>
      <c r="BI64" s="1214"/>
      <c r="BJ64" s="1214"/>
      <c r="BK64" s="1214"/>
      <c r="BL64" s="1214"/>
      <c r="BM64" s="1214"/>
      <c r="BN64" s="1214"/>
      <c r="BO64" s="1214"/>
      <c r="BP64" s="1214"/>
      <c r="BQ64" s="1214"/>
      <c r="BR64" s="1214"/>
      <c r="BS64" s="1214"/>
      <c r="BT64" s="1214"/>
      <c r="BU64" s="1214"/>
      <c r="BV64" s="1214"/>
      <c r="BW64" s="1214"/>
      <c r="BX64" s="1214"/>
      <c r="BY64" s="1214"/>
      <c r="BZ64" s="1214"/>
    </row>
    <row r="65" spans="1:78" ht="11.25" customHeight="1" x14ac:dyDescent="0.3">
      <c r="A65" s="1214" t="s">
        <v>1</v>
      </c>
      <c r="B65" s="1214"/>
      <c r="C65" s="1214"/>
      <c r="D65" s="1214"/>
      <c r="E65" s="1214"/>
      <c r="F65" s="1214"/>
      <c r="G65" s="1214"/>
      <c r="H65" s="1214"/>
      <c r="I65" s="1214"/>
      <c r="J65" s="1214"/>
      <c r="K65" s="1214"/>
      <c r="L65" s="1214"/>
      <c r="M65" s="1214"/>
      <c r="N65" s="1214"/>
      <c r="O65" s="1214"/>
      <c r="P65" s="1214"/>
      <c r="Q65" s="1214"/>
      <c r="R65" s="1214"/>
      <c r="S65" s="1214"/>
      <c r="T65" s="1214"/>
      <c r="U65" s="1214"/>
      <c r="V65" s="1214"/>
      <c r="W65" s="1214"/>
      <c r="X65" s="1214"/>
      <c r="Y65" s="1214"/>
      <c r="Z65" s="1214"/>
      <c r="AA65" s="1214"/>
      <c r="AB65" s="1214"/>
      <c r="AC65" s="1214"/>
      <c r="AD65" s="1214"/>
      <c r="AE65" s="1214"/>
      <c r="AF65" s="1214"/>
      <c r="AG65" s="1214"/>
      <c r="AH65" s="1214"/>
      <c r="AI65" s="1214"/>
      <c r="AJ65" s="1214"/>
      <c r="AK65" s="1214"/>
      <c r="AL65" s="1214"/>
      <c r="AM65" s="1214"/>
      <c r="AN65" s="1214"/>
      <c r="AO65" s="1214"/>
      <c r="AP65" s="1214"/>
      <c r="AQ65" s="1214"/>
      <c r="AR65" s="1214"/>
      <c r="AS65" s="1214"/>
      <c r="AT65" s="1214"/>
      <c r="AU65" s="1214"/>
      <c r="AV65" s="1214"/>
      <c r="AW65" s="1214"/>
      <c r="AX65" s="1214"/>
      <c r="AY65" s="1214"/>
      <c r="AZ65" s="1214"/>
      <c r="BA65" s="1214"/>
      <c r="BB65" s="1214"/>
      <c r="BC65" s="1214"/>
      <c r="BD65" s="1214"/>
      <c r="BE65" s="1214"/>
      <c r="BF65" s="1214"/>
      <c r="BG65" s="1214"/>
      <c r="BH65" s="1214"/>
      <c r="BI65" s="1214"/>
      <c r="BJ65" s="1214"/>
      <c r="BK65" s="1214"/>
      <c r="BL65" s="1214"/>
      <c r="BM65" s="1214"/>
      <c r="BN65" s="1214"/>
      <c r="BO65" s="1214"/>
      <c r="BP65" s="1214"/>
      <c r="BQ65" s="1214"/>
      <c r="BR65" s="1214"/>
      <c r="BS65" s="1214"/>
      <c r="BT65" s="1214"/>
      <c r="BU65" s="1214"/>
      <c r="BV65" s="1214"/>
      <c r="BW65" s="1214"/>
      <c r="BX65" s="1214"/>
      <c r="BY65" s="1214"/>
      <c r="BZ65" s="1214"/>
    </row>
    <row r="66" spans="1:78" ht="24.5" customHeight="1" x14ac:dyDescent="0.3">
      <c r="A66" s="1213" t="s">
        <v>0</v>
      </c>
      <c r="B66" s="1213"/>
      <c r="C66" s="1213"/>
      <c r="D66" s="1213"/>
      <c r="E66" s="1213"/>
      <c r="F66" s="1213"/>
      <c r="G66" s="1213"/>
      <c r="H66" s="1213"/>
      <c r="I66" s="1213"/>
      <c r="J66" s="1213"/>
      <c r="K66" s="1213"/>
      <c r="L66" s="1213"/>
      <c r="M66" s="1213"/>
      <c r="N66" s="1213"/>
      <c r="O66" s="1213"/>
      <c r="P66" s="1213"/>
      <c r="Q66" s="1213"/>
      <c r="R66" s="1213"/>
      <c r="S66" s="1213"/>
      <c r="T66" s="1213"/>
      <c r="U66" s="1213"/>
      <c r="V66" s="1213"/>
      <c r="W66" s="1213"/>
      <c r="X66" s="1213"/>
      <c r="Y66" s="1213"/>
      <c r="Z66" s="1213"/>
      <c r="AA66" s="1213"/>
      <c r="AB66" s="1213"/>
      <c r="AC66" s="1213"/>
      <c r="AD66" s="1213"/>
      <c r="AE66" s="1213"/>
      <c r="AF66" s="1213"/>
      <c r="AG66" s="1213"/>
      <c r="AH66" s="1213"/>
      <c r="AI66" s="1213"/>
      <c r="AJ66" s="1213"/>
      <c r="AK66" s="1213"/>
      <c r="AL66" s="1213"/>
      <c r="AM66" s="1213"/>
      <c r="AN66" s="1213"/>
      <c r="AO66" s="1213"/>
      <c r="AP66" s="1213"/>
      <c r="AQ66" s="1213"/>
      <c r="AR66" s="1213"/>
      <c r="AS66" s="1213"/>
      <c r="AT66" s="1213"/>
      <c r="AU66" s="1213"/>
      <c r="AV66" s="1213"/>
      <c r="AW66" s="1213"/>
      <c r="AX66" s="1213"/>
      <c r="AY66" s="1213"/>
      <c r="AZ66" s="1213"/>
      <c r="BA66" s="1213"/>
      <c r="BB66" s="1213"/>
      <c r="BC66" s="1213"/>
      <c r="BD66" s="1213"/>
      <c r="BE66" s="1213"/>
      <c r="BF66" s="1213"/>
      <c r="BG66" s="1213"/>
      <c r="BH66" s="1213"/>
      <c r="BI66" s="1213"/>
      <c r="BJ66" s="1213"/>
      <c r="BK66" s="1213"/>
      <c r="BL66" s="1213"/>
      <c r="BM66" s="1213"/>
      <c r="BN66" s="1213"/>
      <c r="BO66" s="1213"/>
      <c r="BP66" s="1213"/>
      <c r="BQ66" s="1213"/>
      <c r="BR66" s="1213"/>
      <c r="BS66" s="1213"/>
      <c r="BT66" s="1213"/>
      <c r="BU66" s="1213"/>
      <c r="BV66" s="1213"/>
      <c r="BW66" s="1213"/>
      <c r="BX66" s="1213"/>
      <c r="BY66" s="1213"/>
      <c r="BZ66" s="1213"/>
    </row>
    <row r="67" spans="1:78" ht="23.75" customHeight="1" x14ac:dyDescent="0.3">
      <c r="A67" s="1213" t="s">
        <v>996</v>
      </c>
      <c r="B67" s="1213"/>
      <c r="C67" s="1213"/>
      <c r="D67" s="1213"/>
      <c r="E67" s="1213"/>
      <c r="F67" s="1213"/>
      <c r="G67" s="1213"/>
      <c r="H67" s="1213"/>
      <c r="I67" s="1213"/>
      <c r="J67" s="1213"/>
      <c r="K67" s="1213"/>
      <c r="L67" s="1213"/>
      <c r="M67" s="1213"/>
      <c r="N67" s="1213"/>
      <c r="O67" s="1213"/>
      <c r="P67" s="1213"/>
      <c r="Q67" s="1213"/>
      <c r="R67" s="1213"/>
      <c r="S67" s="1213"/>
      <c r="T67" s="1213"/>
      <c r="U67" s="1213"/>
      <c r="V67" s="1213"/>
      <c r="W67" s="1213"/>
      <c r="X67" s="1213"/>
      <c r="Y67" s="1213"/>
      <c r="Z67" s="1213"/>
      <c r="AA67" s="1213"/>
      <c r="AB67" s="1213"/>
      <c r="AC67" s="1213"/>
      <c r="AD67" s="1213"/>
      <c r="AE67" s="1213"/>
      <c r="AF67" s="1213"/>
      <c r="AG67" s="1213"/>
      <c r="AH67" s="1213"/>
      <c r="AI67" s="1213"/>
      <c r="AJ67" s="1213"/>
      <c r="AK67" s="1213"/>
      <c r="AL67" s="1213"/>
      <c r="AM67" s="1213"/>
      <c r="AN67" s="1213"/>
      <c r="AO67" s="1213"/>
      <c r="AP67" s="1213"/>
      <c r="AQ67" s="1213"/>
      <c r="AR67" s="1213"/>
      <c r="AS67" s="1213"/>
      <c r="AT67" s="1213"/>
      <c r="AU67" s="1213"/>
      <c r="AV67" s="1213"/>
      <c r="AW67" s="1213"/>
      <c r="AX67" s="1213"/>
      <c r="AY67" s="1213"/>
      <c r="AZ67" s="1213"/>
      <c r="BA67" s="1213"/>
      <c r="BB67" s="1213"/>
      <c r="BC67" s="1213"/>
      <c r="BD67" s="1213"/>
      <c r="BE67" s="1213"/>
      <c r="BF67" s="1213"/>
      <c r="BG67" s="1213"/>
      <c r="BH67" s="1213"/>
      <c r="BI67" s="1213"/>
      <c r="BJ67" s="1213"/>
      <c r="BK67" s="1213"/>
      <c r="BL67" s="1213"/>
      <c r="BM67" s="1213"/>
      <c r="BN67" s="1213"/>
      <c r="BO67" s="1213"/>
      <c r="BP67" s="1213"/>
      <c r="BQ67" s="1213"/>
      <c r="BR67" s="1213"/>
      <c r="BS67" s="1213"/>
      <c r="BT67" s="1213"/>
      <c r="BU67" s="1213"/>
      <c r="BV67" s="1213"/>
      <c r="BW67" s="1213"/>
      <c r="BX67" s="1213"/>
      <c r="BY67" s="1213"/>
      <c r="BZ67" s="1213"/>
    </row>
    <row r="68" spans="1:78" ht="14.5" x14ac:dyDescent="0.3">
      <c r="AT68" s="4"/>
      <c r="AU68" s="3"/>
      <c r="AV68" s="3"/>
      <c r="AW68" s="3"/>
      <c r="AX68" s="3"/>
    </row>
  </sheetData>
  <mergeCells count="11">
    <mergeCell ref="A1:BZ1"/>
    <mergeCell ref="A58:BZ58"/>
    <mergeCell ref="A59:BZ59"/>
    <mergeCell ref="A60:BZ60"/>
    <mergeCell ref="A61:BZ61"/>
    <mergeCell ref="A67:BZ67"/>
    <mergeCell ref="A62:BZ62"/>
    <mergeCell ref="A63:BZ63"/>
    <mergeCell ref="A64:BZ64"/>
    <mergeCell ref="A65:BZ65"/>
    <mergeCell ref="A66:BZ66"/>
  </mergeCells>
  <pageMargins left="0.42" right="0.23622047244094491" top="0.35433070866141736" bottom="0.15748031496062992" header="0.23622047244094491" footer="0.23622047244094491"/>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F22"/>
  <sheetViews>
    <sheetView zoomScale="110" zoomScaleNormal="110" workbookViewId="0">
      <pane xSplit="1" ySplit="4" topLeftCell="BD5" activePane="bottomRight" state="frozen"/>
      <selection pane="topRight" activeCell="B1" sqref="B1"/>
      <selection pane="bottomLeft" activeCell="A5" sqref="A5"/>
      <selection pane="bottomRight" activeCell="BD6" sqref="BD6"/>
    </sheetView>
  </sheetViews>
  <sheetFormatPr defaultColWidth="9.08984375" defaultRowHeight="14.5" x14ac:dyDescent="0.35"/>
  <cols>
    <col min="1" max="1" width="49.36328125" style="631" customWidth="1"/>
    <col min="2" max="2" width="8.90625" style="631" hidden="1" customWidth="1"/>
    <col min="3" max="3" width="9.453125" style="631" hidden="1" customWidth="1"/>
    <col min="4" max="4" width="10.36328125" style="631" hidden="1" customWidth="1"/>
    <col min="5" max="5" width="9" style="631" hidden="1" customWidth="1"/>
    <col min="6" max="7" width="8.6328125" style="631" hidden="1" customWidth="1"/>
    <col min="8" max="8" width="8.90625" style="631" hidden="1" customWidth="1"/>
    <col min="9" max="9" width="8.6328125" style="631" hidden="1" customWidth="1"/>
    <col min="10" max="12" width="8.90625" style="631" hidden="1" customWidth="1"/>
    <col min="13" max="13" width="9" style="631" hidden="1" customWidth="1"/>
    <col min="14" max="14" width="8.453125" style="631" hidden="1" customWidth="1"/>
    <col min="15" max="15" width="8.36328125" style="631" hidden="1" customWidth="1"/>
    <col min="16" max="16" width="9" style="631" hidden="1" customWidth="1"/>
    <col min="17" max="18" width="8.6328125" style="631" hidden="1" customWidth="1"/>
    <col min="19" max="19" width="8.90625" style="631" hidden="1" customWidth="1"/>
    <col min="20" max="20" width="8.6328125" style="631" hidden="1" customWidth="1"/>
    <col min="21" max="21" width="9" style="631" hidden="1" customWidth="1"/>
    <col min="22" max="22" width="9.08984375" style="631" hidden="1" customWidth="1"/>
    <col min="23" max="23" width="9.453125" style="631" hidden="1" customWidth="1"/>
    <col min="24" max="25" width="9.08984375" style="631" hidden="1" customWidth="1"/>
    <col min="26" max="26" width="8.90625" style="631" hidden="1" customWidth="1"/>
    <col min="27" max="27" width="9.453125" style="631" hidden="1" customWidth="1"/>
    <col min="28" max="29" width="9.08984375" style="631" hidden="1" customWidth="1"/>
    <col min="30" max="30" width="9.453125" style="631" hidden="1" customWidth="1"/>
    <col min="31" max="31" width="9.36328125" style="631" hidden="1" customWidth="1"/>
    <col min="32" max="32" width="9.6328125" style="631" hidden="1" customWidth="1"/>
    <col min="33" max="33" width="10" style="631" hidden="1" customWidth="1"/>
    <col min="34" max="34" width="10.453125" style="631" hidden="1" customWidth="1"/>
    <col min="35" max="35" width="9.6328125" style="631" hidden="1" customWidth="1"/>
    <col min="36" max="36" width="10.08984375" style="631" hidden="1" customWidth="1"/>
    <col min="37" max="37" width="10.36328125" style="631" hidden="1" customWidth="1"/>
    <col min="38" max="38" width="10.453125" style="631" hidden="1" customWidth="1"/>
    <col min="39" max="39" width="10.08984375" style="631" hidden="1" customWidth="1"/>
    <col min="40" max="41" width="10.36328125" style="631" hidden="1" customWidth="1"/>
    <col min="42" max="42" width="10.6328125" style="631" hidden="1" customWidth="1"/>
    <col min="43" max="43" width="11.453125" style="631" hidden="1" customWidth="1"/>
    <col min="44" max="44" width="10.08984375" style="631" hidden="1" customWidth="1"/>
    <col min="45" max="45" width="10.6328125" style="631" hidden="1" customWidth="1"/>
    <col min="46" max="46" width="10.453125" style="631" hidden="1" customWidth="1"/>
    <col min="47" max="47" width="10.08984375" style="631" hidden="1" customWidth="1"/>
    <col min="48" max="48" width="10.453125" style="631" hidden="1" customWidth="1"/>
    <col min="49" max="49" width="10.08984375" style="631" hidden="1" customWidth="1"/>
    <col min="50" max="50" width="11.08984375" style="631" hidden="1" customWidth="1"/>
    <col min="51" max="51" width="9.81640625" style="631" hidden="1" customWidth="1"/>
    <col min="52" max="52" width="10.6328125" style="631" hidden="1" customWidth="1"/>
    <col min="53" max="53" width="11.90625" style="631" hidden="1" customWidth="1"/>
    <col min="54" max="55" width="12.6328125" style="631" hidden="1" customWidth="1"/>
    <col min="56" max="58" width="12.6328125" style="631" customWidth="1"/>
    <col min="59" max="16384" width="9.08984375" style="631"/>
  </cols>
  <sheetData>
    <row r="1" spans="1:58" ht="23.25" customHeight="1" x14ac:dyDescent="0.35">
      <c r="A1" s="1360" t="s">
        <v>711</v>
      </c>
      <c r="B1" s="1360"/>
      <c r="C1" s="1360"/>
      <c r="D1" s="1360"/>
      <c r="E1" s="1360"/>
      <c r="F1" s="1360"/>
      <c r="G1" s="1360"/>
      <c r="H1" s="1360"/>
      <c r="I1" s="1360"/>
      <c r="J1" s="1360"/>
      <c r="K1" s="1360"/>
      <c r="L1" s="1360"/>
      <c r="M1" s="1360"/>
      <c r="N1" s="1360"/>
      <c r="O1" s="1360"/>
      <c r="P1" s="1360"/>
      <c r="Q1" s="1360"/>
      <c r="R1" s="1360"/>
      <c r="S1" s="1360"/>
      <c r="T1" s="1360"/>
      <c r="U1" s="1360"/>
      <c r="V1" s="1360"/>
      <c r="W1" s="1360"/>
      <c r="X1" s="1360"/>
      <c r="Y1" s="1360"/>
      <c r="Z1" s="1360"/>
      <c r="AA1" s="1360"/>
      <c r="AB1" s="1360"/>
      <c r="AC1" s="1360"/>
      <c r="AD1" s="1360"/>
      <c r="AE1" s="1360"/>
      <c r="AF1" s="1360"/>
      <c r="AG1" s="1360"/>
      <c r="AH1" s="1360"/>
      <c r="AI1" s="1360"/>
      <c r="AJ1" s="1360"/>
      <c r="AK1" s="1360"/>
      <c r="AL1" s="1360"/>
      <c r="AM1" s="1360"/>
      <c r="AN1" s="1360"/>
      <c r="AO1" s="1360"/>
      <c r="AP1" s="1360"/>
      <c r="AQ1" s="1360"/>
      <c r="AR1" s="1360"/>
      <c r="AS1" s="1360"/>
      <c r="AT1" s="1360"/>
      <c r="AU1" s="1360"/>
      <c r="AV1" s="1360"/>
      <c r="AW1" s="1360"/>
      <c r="AX1" s="1360"/>
      <c r="AY1" s="1360"/>
      <c r="AZ1" s="1360"/>
      <c r="BA1" s="1360"/>
      <c r="BB1" s="1360"/>
      <c r="BC1" s="1360"/>
      <c r="BD1" s="1360"/>
      <c r="BE1" s="1360"/>
      <c r="BF1" s="1360"/>
    </row>
    <row r="2" spans="1:58" ht="15.5" x14ac:dyDescent="0.35">
      <c r="A2" s="820" t="s">
        <v>437</v>
      </c>
      <c r="C2" s="311"/>
      <c r="F2" s="311"/>
      <c r="G2" s="311"/>
      <c r="H2" s="311"/>
      <c r="I2" s="311"/>
      <c r="J2" s="311"/>
      <c r="K2" s="311"/>
      <c r="M2" s="311"/>
      <c r="N2" s="819"/>
      <c r="O2" s="819"/>
      <c r="P2" s="819"/>
      <c r="Q2" s="819"/>
      <c r="R2" s="819"/>
      <c r="S2" s="819"/>
      <c r="T2" s="310"/>
      <c r="U2" s="310"/>
      <c r="V2" s="310"/>
      <c r="W2" s="310"/>
      <c r="X2" s="310"/>
      <c r="Y2" s="310"/>
      <c r="Z2" s="310"/>
      <c r="AA2" s="310"/>
      <c r="AB2" s="310"/>
      <c r="AD2" s="310"/>
      <c r="AE2" s="310"/>
      <c r="AF2" s="310"/>
      <c r="AG2" s="310"/>
      <c r="AH2" s="310"/>
      <c r="AI2" s="310"/>
      <c r="AJ2" s="310"/>
      <c r="AK2" s="310"/>
      <c r="AL2" s="310"/>
      <c r="AM2" s="310"/>
      <c r="AN2" s="310"/>
      <c r="AO2" s="310"/>
      <c r="AP2" s="310"/>
      <c r="AQ2" s="310"/>
      <c r="AR2" s="310"/>
      <c r="AS2" s="310"/>
      <c r="AT2" s="310"/>
      <c r="AW2" s="310"/>
      <c r="AX2" s="310"/>
      <c r="AY2" s="310"/>
      <c r="AZ2" s="310"/>
      <c r="BA2" s="818"/>
      <c r="BB2" s="818"/>
      <c r="BC2" s="818"/>
      <c r="BD2" s="818"/>
      <c r="BE2" s="975"/>
      <c r="BF2" s="975" t="s">
        <v>144</v>
      </c>
    </row>
    <row r="3" spans="1:58" ht="15.5" x14ac:dyDescent="0.35">
      <c r="A3" s="817"/>
      <c r="B3" s="308">
        <v>40979</v>
      </c>
      <c r="C3" s="308">
        <v>41071</v>
      </c>
      <c r="D3" s="308">
        <v>41163</v>
      </c>
      <c r="E3" s="308">
        <v>41254</v>
      </c>
      <c r="F3" s="308">
        <v>41344</v>
      </c>
      <c r="G3" s="308">
        <v>41436</v>
      </c>
      <c r="H3" s="308">
        <v>41528</v>
      </c>
      <c r="I3" s="308">
        <v>41619</v>
      </c>
      <c r="J3" s="308">
        <v>41709</v>
      </c>
      <c r="K3" s="308">
        <v>41801</v>
      </c>
      <c r="L3" s="308">
        <v>41893</v>
      </c>
      <c r="M3" s="308">
        <v>41984</v>
      </c>
      <c r="N3" s="308">
        <v>42074</v>
      </c>
      <c r="O3" s="308">
        <v>42166</v>
      </c>
      <c r="P3" s="308">
        <v>42258</v>
      </c>
      <c r="Q3" s="308">
        <v>42349</v>
      </c>
      <c r="R3" s="308">
        <v>42460</v>
      </c>
      <c r="S3" s="308">
        <v>42551</v>
      </c>
      <c r="T3" s="308">
        <v>42643</v>
      </c>
      <c r="U3" s="308">
        <v>42734</v>
      </c>
      <c r="V3" s="308">
        <v>42824</v>
      </c>
      <c r="W3" s="308">
        <v>42916</v>
      </c>
      <c r="X3" s="308">
        <v>43008</v>
      </c>
      <c r="Y3" s="308">
        <v>43099</v>
      </c>
      <c r="Z3" s="308">
        <v>43189</v>
      </c>
      <c r="AA3" s="308">
        <v>43281</v>
      </c>
      <c r="AB3" s="308">
        <v>43373</v>
      </c>
      <c r="AC3" s="308">
        <v>43464</v>
      </c>
      <c r="AD3" s="308">
        <v>43554</v>
      </c>
      <c r="AE3" s="308">
        <v>43646</v>
      </c>
      <c r="AF3" s="308">
        <v>43738</v>
      </c>
      <c r="AG3" s="308">
        <v>43829</v>
      </c>
      <c r="AH3" s="308">
        <v>43920</v>
      </c>
      <c r="AI3" s="308">
        <v>44012</v>
      </c>
      <c r="AJ3" s="308">
        <v>44104</v>
      </c>
      <c r="AK3" s="308">
        <v>44195</v>
      </c>
      <c r="AL3" s="308">
        <v>44285</v>
      </c>
      <c r="AM3" s="308">
        <v>44377</v>
      </c>
      <c r="AN3" s="308">
        <v>44469</v>
      </c>
      <c r="AO3" s="308">
        <v>44560</v>
      </c>
      <c r="AP3" s="308">
        <v>44650</v>
      </c>
      <c r="AQ3" s="308">
        <v>44742</v>
      </c>
      <c r="AR3" s="308">
        <v>44834</v>
      </c>
      <c r="AS3" s="308">
        <v>44925</v>
      </c>
      <c r="AT3" s="308">
        <v>45015</v>
      </c>
      <c r="AU3" s="308">
        <v>45107</v>
      </c>
      <c r="AV3" s="308">
        <v>45199</v>
      </c>
      <c r="AW3" s="308">
        <v>45290</v>
      </c>
      <c r="AX3" s="308">
        <v>45381</v>
      </c>
      <c r="AY3" s="308">
        <v>45473</v>
      </c>
      <c r="AZ3" s="308">
        <v>45565</v>
      </c>
      <c r="BA3" s="816">
        <v>45657</v>
      </c>
      <c r="BB3" s="816">
        <v>45747</v>
      </c>
      <c r="BC3" s="816">
        <v>45809</v>
      </c>
      <c r="BD3" s="816">
        <v>45901</v>
      </c>
      <c r="BE3" s="816">
        <v>45992</v>
      </c>
      <c r="BF3" s="816">
        <v>46082</v>
      </c>
    </row>
    <row r="4" spans="1:58" ht="15.5" x14ac:dyDescent="0.35">
      <c r="A4" s="315"/>
      <c r="B4" s="306" t="s">
        <v>54</v>
      </c>
      <c r="C4" s="306" t="s">
        <v>54</v>
      </c>
      <c r="D4" s="306" t="s">
        <v>54</v>
      </c>
      <c r="E4" s="306" t="s">
        <v>54</v>
      </c>
      <c r="F4" s="306" t="s">
        <v>54</v>
      </c>
      <c r="G4" s="306" t="s">
        <v>54</v>
      </c>
      <c r="H4" s="306" t="s">
        <v>54</v>
      </c>
      <c r="I4" s="306" t="s">
        <v>54</v>
      </c>
      <c r="J4" s="306" t="s">
        <v>54</v>
      </c>
      <c r="K4" s="306" t="s">
        <v>54</v>
      </c>
      <c r="L4" s="306" t="s">
        <v>54</v>
      </c>
      <c r="M4" s="306" t="s">
        <v>54</v>
      </c>
      <c r="N4" s="306" t="s">
        <v>54</v>
      </c>
      <c r="O4" s="306" t="s">
        <v>54</v>
      </c>
      <c r="P4" s="306" t="s">
        <v>54</v>
      </c>
      <c r="Q4" s="306" t="s">
        <v>54</v>
      </c>
      <c r="R4" s="306" t="s">
        <v>54</v>
      </c>
      <c r="S4" s="306" t="s">
        <v>54</v>
      </c>
      <c r="T4" s="306" t="s">
        <v>54</v>
      </c>
      <c r="U4" s="306" t="s">
        <v>54</v>
      </c>
      <c r="V4" s="306" t="s">
        <v>54</v>
      </c>
      <c r="W4" s="306" t="s">
        <v>54</v>
      </c>
      <c r="X4" s="306" t="s">
        <v>54</v>
      </c>
      <c r="Y4" s="306" t="s">
        <v>54</v>
      </c>
      <c r="Z4" s="306" t="s">
        <v>54</v>
      </c>
      <c r="AA4" s="306" t="s">
        <v>54</v>
      </c>
      <c r="AB4" s="306" t="s">
        <v>54</v>
      </c>
      <c r="AC4" s="306" t="s">
        <v>54</v>
      </c>
      <c r="AD4" s="306" t="s">
        <v>54</v>
      </c>
      <c r="AE4" s="306" t="s">
        <v>54</v>
      </c>
      <c r="AF4" s="306" t="s">
        <v>54</v>
      </c>
      <c r="AG4" s="306" t="s">
        <v>54</v>
      </c>
      <c r="AH4" s="306" t="s">
        <v>54</v>
      </c>
      <c r="AI4" s="306" t="s">
        <v>54</v>
      </c>
      <c r="AJ4" s="306" t="s">
        <v>54</v>
      </c>
      <c r="AK4" s="306" t="s">
        <v>54</v>
      </c>
      <c r="AL4" s="306" t="s">
        <v>54</v>
      </c>
      <c r="AM4" s="306" t="s">
        <v>54</v>
      </c>
      <c r="AN4" s="306" t="s">
        <v>54</v>
      </c>
      <c r="AO4" s="306" t="s">
        <v>54</v>
      </c>
      <c r="AP4" s="306" t="s">
        <v>54</v>
      </c>
      <c r="AQ4" s="306" t="s">
        <v>54</v>
      </c>
      <c r="AR4" s="306" t="s">
        <v>54</v>
      </c>
      <c r="AS4" s="306" t="s">
        <v>54</v>
      </c>
      <c r="AT4" s="306" t="s">
        <v>54</v>
      </c>
      <c r="AU4" s="306" t="s">
        <v>54</v>
      </c>
      <c r="AV4" s="306" t="s">
        <v>54</v>
      </c>
      <c r="AW4" s="306" t="s">
        <v>54</v>
      </c>
      <c r="AX4" s="306" t="s">
        <v>54</v>
      </c>
      <c r="AY4" s="306" t="s">
        <v>54</v>
      </c>
      <c r="AZ4" s="306" t="s">
        <v>54</v>
      </c>
      <c r="BA4" s="306" t="s">
        <v>54</v>
      </c>
      <c r="BB4" s="306" t="s">
        <v>54</v>
      </c>
      <c r="BC4" s="306" t="s">
        <v>54</v>
      </c>
      <c r="BD4" s="306" t="s">
        <v>54</v>
      </c>
      <c r="BE4" s="306" t="s">
        <v>54</v>
      </c>
      <c r="BF4" s="815" t="s">
        <v>53</v>
      </c>
    </row>
    <row r="5" spans="1:58" ht="15.5" x14ac:dyDescent="0.35">
      <c r="A5" s="309"/>
      <c r="B5" s="305"/>
      <c r="C5" s="814"/>
      <c r="D5" s="813"/>
      <c r="E5" s="813"/>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305"/>
      <c r="AS5" s="305"/>
      <c r="AT5" s="305"/>
      <c r="AU5" s="305"/>
      <c r="AV5" s="305"/>
      <c r="AW5" s="305"/>
      <c r="AX5" s="305"/>
      <c r="AY5" s="305"/>
      <c r="AZ5" s="305"/>
      <c r="BA5" s="812"/>
      <c r="BB5" s="812"/>
      <c r="BC5" s="812"/>
      <c r="BD5" s="812"/>
      <c r="BE5" s="812"/>
      <c r="BF5" s="812"/>
    </row>
    <row r="6" spans="1:58" ht="15.5" x14ac:dyDescent="0.35">
      <c r="A6" s="304" t="s">
        <v>445</v>
      </c>
      <c r="B6" s="811">
        <v>11032.5</v>
      </c>
      <c r="C6" s="811">
        <v>10439.6</v>
      </c>
      <c r="D6" s="811">
        <v>10632.2</v>
      </c>
      <c r="E6" s="811">
        <v>11236.2</v>
      </c>
      <c r="F6" s="811">
        <v>11557.400000000001</v>
      </c>
      <c r="G6" s="811">
        <v>10280.700000000001</v>
      </c>
      <c r="H6" s="811">
        <v>9937.1000000000022</v>
      </c>
      <c r="I6" s="811">
        <v>12085.5</v>
      </c>
      <c r="J6" s="811">
        <v>10974.8</v>
      </c>
      <c r="K6" s="811">
        <v>9460.5</v>
      </c>
      <c r="L6" s="811">
        <v>9318.7000000000007</v>
      </c>
      <c r="M6" s="811">
        <v>9887.6000000000022</v>
      </c>
      <c r="N6" s="811">
        <v>9429.1999999999989</v>
      </c>
      <c r="O6" s="811">
        <v>12531.2</v>
      </c>
      <c r="P6" s="811">
        <v>12134.300000000001</v>
      </c>
      <c r="Q6" s="811">
        <v>11555.2</v>
      </c>
      <c r="R6" s="811">
        <v>10756.300000000001</v>
      </c>
      <c r="S6" s="811">
        <v>10703.300000000001</v>
      </c>
      <c r="T6" s="811">
        <v>10317.999999999998</v>
      </c>
      <c r="U6" s="811">
        <v>9619</v>
      </c>
      <c r="V6" s="811">
        <v>12621.600000000002</v>
      </c>
      <c r="W6" s="811">
        <v>11958.9</v>
      </c>
      <c r="X6" s="811">
        <v>18251.2</v>
      </c>
      <c r="Y6" s="811">
        <v>17417.899999999998</v>
      </c>
      <c r="Z6" s="811">
        <v>17788</v>
      </c>
      <c r="AA6" s="811">
        <v>17038.199999999997</v>
      </c>
      <c r="AB6" s="811">
        <v>17536.2</v>
      </c>
      <c r="AC6" s="811">
        <v>24371.25</v>
      </c>
      <c r="AD6" s="811">
        <v>23511.8</v>
      </c>
      <c r="AE6" s="811">
        <v>22940.400000000001</v>
      </c>
      <c r="AF6" s="811">
        <v>23014</v>
      </c>
      <c r="AG6" s="811">
        <v>17464</v>
      </c>
      <c r="AH6" s="811">
        <v>17765</v>
      </c>
      <c r="AI6" s="811">
        <v>17689</v>
      </c>
      <c r="AJ6" s="811">
        <v>11146</v>
      </c>
      <c r="AK6" s="811">
        <v>11867</v>
      </c>
      <c r="AL6" s="811">
        <v>13280.039000000001</v>
      </c>
      <c r="AM6" s="811">
        <v>13950.39</v>
      </c>
      <c r="AN6" s="811">
        <v>14226</v>
      </c>
      <c r="AO6" s="811">
        <v>13714.6</v>
      </c>
      <c r="AP6" s="811">
        <v>19301.47</v>
      </c>
      <c r="AQ6" s="811">
        <v>24657.09</v>
      </c>
      <c r="AR6" s="811">
        <v>29647.96</v>
      </c>
      <c r="AS6" s="811">
        <v>32007.46</v>
      </c>
      <c r="AT6" s="811">
        <v>30125</v>
      </c>
      <c r="AU6" s="811">
        <v>33354.870000000003</v>
      </c>
      <c r="AV6" s="811">
        <v>33083.410000000003</v>
      </c>
      <c r="AW6" s="811">
        <v>31066.83</v>
      </c>
      <c r="AX6" s="811">
        <v>30983.500000000004</v>
      </c>
      <c r="AY6" s="811">
        <v>36494.160000000003</v>
      </c>
      <c r="AZ6" s="810">
        <v>35306</v>
      </c>
      <c r="BA6" s="810">
        <v>40726</v>
      </c>
      <c r="BB6" s="810">
        <v>42250</v>
      </c>
      <c r="BC6" s="810">
        <v>36936</v>
      </c>
      <c r="BD6" s="810">
        <v>36221</v>
      </c>
      <c r="BE6" s="810">
        <v>34495</v>
      </c>
      <c r="BF6" s="810">
        <v>37376</v>
      </c>
    </row>
    <row r="7" spans="1:58" ht="15.5" x14ac:dyDescent="0.35">
      <c r="A7" s="121"/>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809"/>
      <c r="BB7" s="809"/>
      <c r="BC7" s="809"/>
      <c r="BD7" s="809"/>
      <c r="BE7" s="809"/>
      <c r="BF7" s="809"/>
    </row>
    <row r="8" spans="1:58" ht="15.5" x14ac:dyDescent="0.35">
      <c r="A8" s="299" t="s">
        <v>444</v>
      </c>
      <c r="B8" s="807">
        <v>6171.9</v>
      </c>
      <c r="C8" s="807">
        <v>4161.5</v>
      </c>
      <c r="D8" s="807">
        <v>4793.3</v>
      </c>
      <c r="E8" s="807">
        <v>3628.6</v>
      </c>
      <c r="F8" s="807">
        <v>4035.3</v>
      </c>
      <c r="G8" s="807">
        <v>3090.2</v>
      </c>
      <c r="H8" s="807">
        <v>2921.7</v>
      </c>
      <c r="I8" s="807">
        <v>4126.8</v>
      </c>
      <c r="J8" s="807">
        <v>3005</v>
      </c>
      <c r="K8" s="807">
        <v>1381.3</v>
      </c>
      <c r="L8" s="807">
        <v>1063.9000000000001</v>
      </c>
      <c r="M8" s="807">
        <v>2123</v>
      </c>
      <c r="N8" s="807">
        <v>1967.3</v>
      </c>
      <c r="O8" s="807">
        <v>5497</v>
      </c>
      <c r="P8" s="807">
        <v>5525.3</v>
      </c>
      <c r="Q8" s="807">
        <v>4579.1000000000004</v>
      </c>
      <c r="R8" s="807">
        <v>4650.3</v>
      </c>
      <c r="S8" s="807">
        <v>5088.8999999999996</v>
      </c>
      <c r="T8" s="807">
        <v>5019.2</v>
      </c>
      <c r="U8" s="807">
        <v>5153.2</v>
      </c>
      <c r="V8" s="807">
        <v>8547.7000000000007</v>
      </c>
      <c r="W8" s="807">
        <v>4644</v>
      </c>
      <c r="X8" s="807">
        <v>4772.3999999999996</v>
      </c>
      <c r="Y8" s="807">
        <v>4125.3</v>
      </c>
      <c r="Z8" s="807">
        <v>4761.1000000000004</v>
      </c>
      <c r="AA8" s="807">
        <v>832.9</v>
      </c>
      <c r="AB8" s="807">
        <v>1208.5</v>
      </c>
      <c r="AC8" s="807">
        <v>7386.5</v>
      </c>
      <c r="AD8" s="807">
        <v>6500.1</v>
      </c>
      <c r="AE8" s="807">
        <v>6277.2</v>
      </c>
      <c r="AF8" s="807">
        <v>12875</v>
      </c>
      <c r="AG8" s="807">
        <v>8461</v>
      </c>
      <c r="AH8" s="807">
        <v>8745</v>
      </c>
      <c r="AI8" s="806">
        <v>8219</v>
      </c>
      <c r="AJ8" s="806">
        <v>1337</v>
      </c>
      <c r="AK8" s="806">
        <v>1396</v>
      </c>
      <c r="AL8" s="806">
        <v>1397.47</v>
      </c>
      <c r="AM8" s="806">
        <v>1480.63</v>
      </c>
      <c r="AN8" s="806">
        <v>1464</v>
      </c>
      <c r="AO8" s="806">
        <v>181.2</v>
      </c>
      <c r="AP8" s="806">
        <v>7246.22</v>
      </c>
      <c r="AQ8" s="806">
        <v>8276.06</v>
      </c>
      <c r="AR8" s="806">
        <v>12066.55</v>
      </c>
      <c r="AS8" s="806">
        <v>13681.03</v>
      </c>
      <c r="AT8" s="806">
        <v>11641.72</v>
      </c>
      <c r="AU8" s="806">
        <v>15150.18</v>
      </c>
      <c r="AV8" s="806">
        <v>14646.37</v>
      </c>
      <c r="AW8" s="806">
        <v>11578.73</v>
      </c>
      <c r="AX8" s="806">
        <v>12819.97</v>
      </c>
      <c r="AY8" s="806">
        <v>14268.1</v>
      </c>
      <c r="AZ8" s="806">
        <v>12617</v>
      </c>
      <c r="BA8" s="805">
        <v>16475</v>
      </c>
      <c r="BB8" s="805">
        <v>18395</v>
      </c>
      <c r="BC8" s="805">
        <v>14267</v>
      </c>
      <c r="BD8" s="805">
        <v>13075</v>
      </c>
      <c r="BE8" s="805">
        <v>13499</v>
      </c>
      <c r="BF8" s="805">
        <v>15599</v>
      </c>
    </row>
    <row r="9" spans="1:58" ht="15.5" x14ac:dyDescent="0.35">
      <c r="A9" s="299"/>
      <c r="B9" s="808"/>
      <c r="C9" s="808"/>
      <c r="D9" s="808"/>
      <c r="E9" s="808"/>
      <c r="F9" s="808"/>
      <c r="G9" s="808"/>
      <c r="H9" s="808"/>
      <c r="I9" s="808"/>
      <c r="J9" s="808"/>
      <c r="K9" s="808"/>
      <c r="L9" s="808"/>
      <c r="M9" s="808"/>
      <c r="N9" s="808"/>
      <c r="O9" s="808"/>
      <c r="P9" s="808"/>
      <c r="Q9" s="808"/>
      <c r="R9" s="808"/>
      <c r="S9" s="808"/>
      <c r="T9" s="808"/>
      <c r="U9" s="808"/>
      <c r="V9" s="808"/>
      <c r="W9" s="808"/>
      <c r="X9" s="808"/>
      <c r="Y9" s="808"/>
      <c r="Z9" s="808"/>
      <c r="AA9" s="808"/>
      <c r="AB9" s="808"/>
      <c r="AC9" s="808"/>
      <c r="AD9" s="808"/>
      <c r="AE9" s="808"/>
      <c r="AF9" s="808"/>
      <c r="AG9" s="808"/>
      <c r="AH9" s="808"/>
      <c r="AI9" s="806"/>
      <c r="AJ9" s="806"/>
      <c r="AK9" s="806"/>
      <c r="AL9" s="806"/>
      <c r="AM9" s="806"/>
      <c r="AN9" s="806"/>
      <c r="AO9" s="806"/>
      <c r="AP9" s="806"/>
      <c r="AQ9" s="806"/>
      <c r="AR9" s="806"/>
      <c r="AS9" s="806"/>
      <c r="AT9" s="806"/>
      <c r="AU9" s="806"/>
      <c r="AV9" s="806"/>
      <c r="AW9" s="806"/>
      <c r="AX9" s="806"/>
      <c r="AY9" s="806"/>
      <c r="AZ9" s="806"/>
      <c r="BA9" s="805"/>
      <c r="BB9" s="805"/>
      <c r="BC9" s="805"/>
      <c r="BD9" s="805"/>
      <c r="BE9" s="805"/>
      <c r="BF9" s="805"/>
    </row>
    <row r="10" spans="1:58" ht="15.5" x14ac:dyDescent="0.35">
      <c r="A10" s="299" t="s">
        <v>443</v>
      </c>
      <c r="B10" s="807">
        <v>1469.1000000000001</v>
      </c>
      <c r="C10" s="807">
        <v>2501.1999999999998</v>
      </c>
      <c r="D10" s="807">
        <v>3057.4</v>
      </c>
      <c r="E10" s="807">
        <v>3586.8</v>
      </c>
      <c r="F10" s="807">
        <v>3550.7</v>
      </c>
      <c r="G10" s="807">
        <v>3392.9</v>
      </c>
      <c r="H10" s="807">
        <v>3229.9</v>
      </c>
      <c r="I10" s="807">
        <v>2794</v>
      </c>
      <c r="J10" s="807">
        <v>2789.4</v>
      </c>
      <c r="K10" s="807">
        <v>3086.5</v>
      </c>
      <c r="L10" s="807">
        <v>3307.9</v>
      </c>
      <c r="M10" s="807">
        <v>3069.3</v>
      </c>
      <c r="N10" s="807">
        <v>2719.9</v>
      </c>
      <c r="O10" s="807">
        <v>2486.6</v>
      </c>
      <c r="P10" s="807">
        <v>2200.6999999999998</v>
      </c>
      <c r="Q10" s="807">
        <v>1979.6</v>
      </c>
      <c r="R10" s="807">
        <v>1788.5</v>
      </c>
      <c r="S10" s="807">
        <v>1453.6</v>
      </c>
      <c r="T10" s="807">
        <v>1302.5999999999999</v>
      </c>
      <c r="U10" s="807">
        <v>1218.3</v>
      </c>
      <c r="V10" s="807">
        <v>1018.6</v>
      </c>
      <c r="W10" s="807">
        <v>4599</v>
      </c>
      <c r="X10" s="807">
        <v>10927.6</v>
      </c>
      <c r="Y10" s="807">
        <v>10819.7</v>
      </c>
      <c r="Z10" s="807">
        <v>10721.4</v>
      </c>
      <c r="AA10" s="807">
        <v>13855.7</v>
      </c>
      <c r="AB10" s="807">
        <v>14079.1</v>
      </c>
      <c r="AC10" s="807">
        <v>11381.05</v>
      </c>
      <c r="AD10" s="807">
        <v>11514.4</v>
      </c>
      <c r="AE10" s="807">
        <v>11519.5</v>
      </c>
      <c r="AF10" s="807">
        <v>5131</v>
      </c>
      <c r="AG10" s="807">
        <v>4673</v>
      </c>
      <c r="AH10" s="807">
        <v>4671</v>
      </c>
      <c r="AI10" s="806">
        <v>4812</v>
      </c>
      <c r="AJ10" s="806">
        <v>5222</v>
      </c>
      <c r="AK10" s="806">
        <v>5717</v>
      </c>
      <c r="AL10" s="806">
        <v>5865.26</v>
      </c>
      <c r="AM10" s="806">
        <v>6337</v>
      </c>
      <c r="AN10" s="806">
        <v>6335</v>
      </c>
      <c r="AO10" s="806">
        <v>6330.7</v>
      </c>
      <c r="AP10" s="806">
        <v>2231.09</v>
      </c>
      <c r="AQ10" s="806">
        <v>6238.4</v>
      </c>
      <c r="AR10" s="806">
        <v>6152.91</v>
      </c>
      <c r="AS10" s="806">
        <v>6400.61</v>
      </c>
      <c r="AT10" s="806">
        <v>6374.63</v>
      </c>
      <c r="AU10" s="806">
        <v>5841.79</v>
      </c>
      <c r="AV10" s="806">
        <v>6703.27</v>
      </c>
      <c r="AW10" s="806">
        <v>6320.77</v>
      </c>
      <c r="AX10" s="806">
        <v>12607.730000000001</v>
      </c>
      <c r="AY10" s="806">
        <v>15831.7</v>
      </c>
      <c r="AZ10" s="806">
        <v>16479</v>
      </c>
      <c r="BA10" s="805">
        <v>17476</v>
      </c>
      <c r="BB10" s="805">
        <v>17178</v>
      </c>
      <c r="BC10" s="805">
        <v>17455</v>
      </c>
      <c r="BD10" s="805">
        <v>18369</v>
      </c>
      <c r="BE10" s="805">
        <v>16332</v>
      </c>
      <c r="BF10" s="805">
        <v>17145</v>
      </c>
    </row>
    <row r="11" spans="1:58" ht="15.5" x14ac:dyDescent="0.35">
      <c r="A11" s="299"/>
      <c r="B11" s="808"/>
      <c r="C11" s="807"/>
      <c r="D11" s="807"/>
      <c r="E11" s="807"/>
      <c r="F11" s="807"/>
      <c r="G11" s="807"/>
      <c r="H11" s="807"/>
      <c r="I11" s="807"/>
      <c r="J11" s="807"/>
      <c r="K11" s="807"/>
      <c r="L11" s="807"/>
      <c r="M11" s="807"/>
      <c r="N11" s="807"/>
      <c r="O11" s="807"/>
      <c r="P11" s="807"/>
      <c r="Q11" s="807"/>
      <c r="R11" s="807"/>
      <c r="S11" s="807"/>
      <c r="T11" s="807"/>
      <c r="U11" s="807"/>
      <c r="V11" s="807"/>
      <c r="W11" s="807"/>
      <c r="X11" s="807"/>
      <c r="Y11" s="807"/>
      <c r="Z11" s="807"/>
      <c r="AA11" s="807"/>
      <c r="AB11" s="807"/>
      <c r="AC11" s="807"/>
      <c r="AD11" s="807"/>
      <c r="AE11" s="807"/>
      <c r="AF11" s="807"/>
      <c r="AG11" s="807"/>
      <c r="AH11" s="807"/>
      <c r="AI11" s="806"/>
      <c r="AJ11" s="806"/>
      <c r="AK11" s="806"/>
      <c r="AL11" s="806"/>
      <c r="AM11" s="806"/>
      <c r="AN11" s="806"/>
      <c r="AO11" s="806"/>
      <c r="AP11" s="806"/>
      <c r="AQ11" s="806"/>
      <c r="AR11" s="806"/>
      <c r="AS11" s="806"/>
      <c r="AT11" s="806"/>
      <c r="AU11" s="806"/>
      <c r="AV11" s="806"/>
      <c r="AW11" s="806"/>
      <c r="AX11" s="806"/>
      <c r="AY11" s="806"/>
      <c r="AZ11" s="806"/>
      <c r="BA11" s="805"/>
      <c r="BB11" s="805"/>
      <c r="BC11" s="805"/>
      <c r="BD11" s="805"/>
      <c r="BE11" s="805"/>
      <c r="BF11" s="805"/>
    </row>
    <row r="12" spans="1:58" ht="15.5" x14ac:dyDescent="0.35">
      <c r="A12" s="299" t="s">
        <v>363</v>
      </c>
      <c r="B12" s="807">
        <v>2919.5</v>
      </c>
      <c r="C12" s="807">
        <v>3312.7</v>
      </c>
      <c r="D12" s="807">
        <v>2322.6999999999998</v>
      </c>
      <c r="E12" s="807">
        <v>3567.1</v>
      </c>
      <c r="F12" s="807">
        <v>3522.7</v>
      </c>
      <c r="G12" s="807">
        <v>3354</v>
      </c>
      <c r="H12" s="807">
        <v>3347.3</v>
      </c>
      <c r="I12" s="807">
        <v>4431.7</v>
      </c>
      <c r="J12" s="807">
        <v>4472.7</v>
      </c>
      <c r="K12" s="807">
        <v>4296.8</v>
      </c>
      <c r="L12" s="807">
        <v>4249.8999999999996</v>
      </c>
      <c r="M12" s="807">
        <v>4136.6000000000004</v>
      </c>
      <c r="N12" s="807">
        <v>4175.2</v>
      </c>
      <c r="O12" s="807">
        <v>3991.8</v>
      </c>
      <c r="P12" s="807">
        <v>3855.7</v>
      </c>
      <c r="Q12" s="807">
        <v>4468.3</v>
      </c>
      <c r="R12" s="807">
        <v>3823.4</v>
      </c>
      <c r="S12" s="807">
        <v>3665.7</v>
      </c>
      <c r="T12" s="807">
        <v>3507.3</v>
      </c>
      <c r="U12" s="807">
        <v>2782.6</v>
      </c>
      <c r="V12" s="807">
        <v>2621.1</v>
      </c>
      <c r="W12" s="807">
        <v>2517.6</v>
      </c>
      <c r="X12" s="807">
        <v>2357.9</v>
      </c>
      <c r="Y12" s="807">
        <v>2284.6</v>
      </c>
      <c r="Z12" s="807">
        <v>2122.1999999999998</v>
      </c>
      <c r="AA12" s="807">
        <v>2028.5</v>
      </c>
      <c r="AB12" s="807">
        <v>1914.8</v>
      </c>
      <c r="AC12" s="807">
        <v>1840</v>
      </c>
      <c r="AD12" s="807">
        <v>1720</v>
      </c>
      <c r="AE12" s="807">
        <v>1215.2</v>
      </c>
      <c r="AF12" s="807">
        <v>1087</v>
      </c>
      <c r="AG12" s="807">
        <v>413</v>
      </c>
      <c r="AH12" s="807">
        <v>385</v>
      </c>
      <c r="AI12" s="806">
        <v>348</v>
      </c>
      <c r="AJ12" s="806">
        <v>330</v>
      </c>
      <c r="AK12" s="806">
        <v>291</v>
      </c>
      <c r="AL12" s="806">
        <v>1453.41</v>
      </c>
      <c r="AM12" s="806">
        <v>1448.83</v>
      </c>
      <c r="AN12" s="806">
        <v>1437</v>
      </c>
      <c r="AO12" s="806">
        <v>1324.6</v>
      </c>
      <c r="AP12" s="806">
        <v>7280</v>
      </c>
      <c r="AQ12" s="806">
        <v>7589.33</v>
      </c>
      <c r="AR12" s="806">
        <v>8086.2</v>
      </c>
      <c r="AS12" s="806">
        <v>8422.02</v>
      </c>
      <c r="AT12" s="806">
        <v>8402.68</v>
      </c>
      <c r="AU12" s="806">
        <v>9280.19</v>
      </c>
      <c r="AV12" s="806">
        <v>10078.790000000001</v>
      </c>
      <c r="AW12" s="806">
        <v>11254.66</v>
      </c>
      <c r="AX12" s="806">
        <v>4838.1000000000004</v>
      </c>
      <c r="AY12" s="806">
        <v>5627.6</v>
      </c>
      <c r="AZ12" s="806">
        <v>5449</v>
      </c>
      <c r="BA12" s="805">
        <v>6026</v>
      </c>
      <c r="BB12" s="805">
        <v>6048</v>
      </c>
      <c r="BC12" s="805">
        <v>4413</v>
      </c>
      <c r="BD12" s="805">
        <v>3999</v>
      </c>
      <c r="BE12" s="805">
        <v>3908</v>
      </c>
      <c r="BF12" s="805">
        <v>3921</v>
      </c>
    </row>
    <row r="13" spans="1:58" ht="15.5" x14ac:dyDescent="0.35">
      <c r="A13" s="299"/>
      <c r="B13" s="808"/>
      <c r="C13" s="807"/>
      <c r="D13" s="807"/>
      <c r="E13" s="807"/>
      <c r="F13" s="807"/>
      <c r="G13" s="807"/>
      <c r="H13" s="807"/>
      <c r="I13" s="807"/>
      <c r="J13" s="807"/>
      <c r="K13" s="807"/>
      <c r="L13" s="807"/>
      <c r="M13" s="807"/>
      <c r="N13" s="807"/>
      <c r="O13" s="807"/>
      <c r="P13" s="807"/>
      <c r="Q13" s="807"/>
      <c r="R13" s="807"/>
      <c r="S13" s="807"/>
      <c r="T13" s="807"/>
      <c r="U13" s="807"/>
      <c r="V13" s="807"/>
      <c r="W13" s="807"/>
      <c r="X13" s="807"/>
      <c r="Y13" s="807"/>
      <c r="Z13" s="807"/>
      <c r="AA13" s="807"/>
      <c r="AB13" s="807"/>
      <c r="AC13" s="807"/>
      <c r="AD13" s="807"/>
      <c r="AE13" s="807"/>
      <c r="AF13" s="807"/>
      <c r="AG13" s="807"/>
      <c r="AH13" s="807"/>
      <c r="AI13" s="806"/>
      <c r="AJ13" s="806"/>
      <c r="AK13" s="806"/>
      <c r="AL13" s="806"/>
      <c r="AM13" s="806"/>
      <c r="AN13" s="806"/>
      <c r="AO13" s="806"/>
      <c r="AP13" s="806"/>
      <c r="AQ13" s="806"/>
      <c r="AR13" s="806"/>
      <c r="AS13" s="806"/>
      <c r="AT13" s="806"/>
      <c r="AU13" s="806"/>
      <c r="AV13" s="806"/>
      <c r="AW13" s="806"/>
      <c r="AX13" s="806"/>
      <c r="AY13" s="806"/>
      <c r="AZ13" s="806"/>
      <c r="BA13" s="805"/>
      <c r="BB13" s="805"/>
      <c r="BC13" s="805"/>
      <c r="BD13" s="805"/>
      <c r="BE13" s="805"/>
      <c r="BF13" s="805"/>
    </row>
    <row r="14" spans="1:58" ht="15.5" x14ac:dyDescent="0.35">
      <c r="A14" s="299" t="s">
        <v>710</v>
      </c>
      <c r="B14" s="807">
        <v>472</v>
      </c>
      <c r="C14" s="807">
        <v>464.2</v>
      </c>
      <c r="D14" s="807">
        <v>458.8</v>
      </c>
      <c r="E14" s="807">
        <v>453.7</v>
      </c>
      <c r="F14" s="807">
        <v>448.7</v>
      </c>
      <c r="G14" s="807">
        <v>443.6</v>
      </c>
      <c r="H14" s="807">
        <v>438.2</v>
      </c>
      <c r="I14" s="807">
        <v>733</v>
      </c>
      <c r="J14" s="807">
        <v>707.7</v>
      </c>
      <c r="K14" s="807">
        <v>695.9</v>
      </c>
      <c r="L14" s="807">
        <v>697</v>
      </c>
      <c r="M14" s="807">
        <v>558.70000000000005</v>
      </c>
      <c r="N14" s="807">
        <v>566.79999999999995</v>
      </c>
      <c r="O14" s="807">
        <v>555.79999999999995</v>
      </c>
      <c r="P14" s="807">
        <v>552.6</v>
      </c>
      <c r="Q14" s="807">
        <v>528.20000000000005</v>
      </c>
      <c r="R14" s="807">
        <v>494.1</v>
      </c>
      <c r="S14" s="807">
        <v>495.1</v>
      </c>
      <c r="T14" s="807">
        <v>488.9</v>
      </c>
      <c r="U14" s="807">
        <v>464.9</v>
      </c>
      <c r="V14" s="807">
        <v>434.2</v>
      </c>
      <c r="W14" s="807">
        <v>198.3</v>
      </c>
      <c r="X14" s="807">
        <v>193.3</v>
      </c>
      <c r="Y14" s="807">
        <v>188.3</v>
      </c>
      <c r="Z14" s="807">
        <v>183.3</v>
      </c>
      <c r="AA14" s="807">
        <v>321.10000000000002</v>
      </c>
      <c r="AB14" s="807">
        <v>333.8</v>
      </c>
      <c r="AC14" s="807">
        <v>3763.7</v>
      </c>
      <c r="AD14" s="807">
        <v>3777.3</v>
      </c>
      <c r="AE14" s="807">
        <v>3928.5</v>
      </c>
      <c r="AF14" s="807">
        <v>3921</v>
      </c>
      <c r="AG14" s="807">
        <v>3917</v>
      </c>
      <c r="AH14" s="807">
        <v>3964</v>
      </c>
      <c r="AI14" s="806">
        <v>4310</v>
      </c>
      <c r="AJ14" s="806">
        <v>4257</v>
      </c>
      <c r="AK14" s="806">
        <v>4463</v>
      </c>
      <c r="AL14" s="806">
        <v>4563.8990000000003</v>
      </c>
      <c r="AM14" s="806">
        <v>4683.93</v>
      </c>
      <c r="AN14" s="806">
        <v>4990</v>
      </c>
      <c r="AO14" s="806">
        <v>5878.1</v>
      </c>
      <c r="AP14" s="806">
        <v>2544.16</v>
      </c>
      <c r="AQ14" s="806">
        <v>2553.3000000000002</v>
      </c>
      <c r="AR14" s="806">
        <v>3342.3</v>
      </c>
      <c r="AS14" s="806">
        <v>3503.8</v>
      </c>
      <c r="AT14" s="806">
        <v>3705.97</v>
      </c>
      <c r="AU14" s="806">
        <v>3082.71</v>
      </c>
      <c r="AV14" s="806">
        <v>1654.98</v>
      </c>
      <c r="AW14" s="806">
        <v>1912.67</v>
      </c>
      <c r="AX14" s="806">
        <v>717.7</v>
      </c>
      <c r="AY14" s="806">
        <v>766.76</v>
      </c>
      <c r="AZ14" s="806">
        <v>761</v>
      </c>
      <c r="BA14" s="805">
        <v>749</v>
      </c>
      <c r="BB14" s="805">
        <v>629</v>
      </c>
      <c r="BC14" s="805">
        <v>801</v>
      </c>
      <c r="BD14" s="805">
        <v>778</v>
      </c>
      <c r="BE14" s="805">
        <v>756</v>
      </c>
      <c r="BF14" s="805">
        <v>711</v>
      </c>
    </row>
    <row r="15" spans="1:58" ht="15.5" x14ac:dyDescent="0.35">
      <c r="A15" s="114"/>
      <c r="B15" s="114"/>
      <c r="C15" s="804"/>
      <c r="D15" s="804"/>
      <c r="E15" s="804"/>
      <c r="F15" s="804"/>
      <c r="G15" s="804"/>
      <c r="H15" s="804"/>
      <c r="I15" s="804"/>
      <c r="J15" s="804"/>
      <c r="K15" s="804"/>
      <c r="L15" s="804"/>
      <c r="M15" s="804"/>
      <c r="N15" s="804"/>
      <c r="O15" s="804"/>
      <c r="P15" s="804"/>
      <c r="Q15" s="804"/>
      <c r="R15" s="804"/>
      <c r="S15" s="804"/>
      <c r="T15" s="804"/>
      <c r="U15" s="804"/>
      <c r="V15" s="804"/>
      <c r="W15" s="804"/>
      <c r="X15" s="804"/>
      <c r="Y15" s="804"/>
      <c r="Z15" s="804"/>
      <c r="AA15" s="804"/>
      <c r="AB15" s="804"/>
      <c r="AC15" s="804"/>
      <c r="AD15" s="804"/>
      <c r="AE15" s="804"/>
      <c r="AF15" s="804"/>
      <c r="AG15" s="804"/>
      <c r="AH15" s="804"/>
      <c r="AI15" s="804"/>
      <c r="AJ15" s="804"/>
      <c r="AK15" s="804"/>
      <c r="AL15" s="804"/>
      <c r="AM15" s="804"/>
      <c r="AN15" s="804"/>
      <c r="AO15" s="804"/>
      <c r="AP15" s="804"/>
      <c r="AQ15" s="804"/>
      <c r="AR15" s="804"/>
      <c r="AS15" s="804"/>
      <c r="AT15" s="804"/>
      <c r="AU15" s="804"/>
      <c r="AV15" s="804"/>
      <c r="AW15" s="804"/>
      <c r="AX15" s="804"/>
      <c r="AY15" s="804"/>
      <c r="AZ15" s="804"/>
      <c r="BA15" s="803"/>
      <c r="BB15" s="803"/>
      <c r="BC15" s="803"/>
      <c r="BD15" s="803"/>
      <c r="BE15" s="803"/>
      <c r="BF15" s="803"/>
    </row>
    <row r="16" spans="1:58" ht="9" customHeight="1" x14ac:dyDescent="0.35">
      <c r="A16" s="104"/>
      <c r="B16" s="802"/>
      <c r="F16" s="802"/>
      <c r="G16" s="802"/>
      <c r="H16" s="802"/>
      <c r="I16" s="802"/>
      <c r="M16" s="801"/>
      <c r="N16" s="801"/>
      <c r="O16" s="801"/>
      <c r="P16" s="801"/>
      <c r="Q16" s="801"/>
    </row>
    <row r="17" spans="1:58" x14ac:dyDescent="0.35">
      <c r="A17" s="1240" t="s">
        <v>683</v>
      </c>
      <c r="B17" s="1240"/>
      <c r="C17" s="1240"/>
      <c r="D17" s="1240"/>
      <c r="E17" s="1240"/>
      <c r="F17" s="1240"/>
      <c r="G17" s="1240"/>
      <c r="H17" s="1240"/>
      <c r="I17" s="1240"/>
      <c r="J17" s="1240"/>
      <c r="K17" s="1240"/>
      <c r="L17" s="1240"/>
      <c r="M17" s="1240"/>
      <c r="N17" s="1240"/>
      <c r="O17" s="1240"/>
      <c r="P17" s="1240"/>
      <c r="Q17" s="1240"/>
      <c r="R17" s="1240"/>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1240"/>
      <c r="AS17" s="1240"/>
      <c r="AT17" s="1240"/>
      <c r="AU17" s="1240"/>
      <c r="AV17" s="1240"/>
      <c r="AW17" s="1240"/>
      <c r="AX17" s="1240"/>
      <c r="AY17" s="1240"/>
      <c r="AZ17" s="1240"/>
      <c r="BA17" s="1240"/>
      <c r="BB17" s="1240"/>
      <c r="BC17" s="1240"/>
      <c r="BD17" s="1240"/>
      <c r="BE17" s="1240"/>
      <c r="BF17" s="1240"/>
    </row>
    <row r="18" spans="1:58" x14ac:dyDescent="0.35">
      <c r="A18" s="1240" t="s">
        <v>607</v>
      </c>
      <c r="B18" s="1240"/>
      <c r="C18" s="1240"/>
      <c r="D18" s="1240"/>
      <c r="E18" s="1240"/>
      <c r="F18" s="1240"/>
      <c r="G18" s="1240"/>
      <c r="H18" s="1240"/>
      <c r="I18" s="1240"/>
      <c r="J18" s="1240"/>
      <c r="K18" s="1240"/>
      <c r="L18" s="1240"/>
      <c r="M18" s="1240"/>
      <c r="N18" s="1240"/>
      <c r="O18" s="1240"/>
      <c r="P18" s="1240"/>
      <c r="Q18" s="1240"/>
      <c r="R18" s="1240"/>
      <c r="S18" s="1240"/>
      <c r="T18" s="1240"/>
      <c r="U18" s="1240"/>
      <c r="V18" s="1240"/>
      <c r="W18" s="1240"/>
      <c r="X18" s="1240"/>
      <c r="Y18" s="1240"/>
      <c r="Z18" s="1240"/>
      <c r="AA18" s="1240"/>
      <c r="AB18" s="1240"/>
      <c r="AC18" s="1240"/>
      <c r="AD18" s="1240"/>
      <c r="AE18" s="1240"/>
      <c r="AF18" s="1240"/>
      <c r="AG18" s="1240"/>
      <c r="AH18" s="1240"/>
      <c r="AI18" s="1240"/>
      <c r="AJ18" s="1240"/>
      <c r="AK18" s="1240"/>
      <c r="AL18" s="1240"/>
      <c r="AM18" s="1240"/>
      <c r="AN18" s="1240"/>
      <c r="AO18" s="1240"/>
      <c r="AP18" s="1240"/>
      <c r="AQ18" s="1240"/>
      <c r="AR18" s="1240"/>
      <c r="AS18" s="1240"/>
      <c r="AT18" s="1240"/>
      <c r="AU18" s="1240"/>
      <c r="AV18" s="1240"/>
      <c r="AW18" s="1240"/>
      <c r="AX18" s="1240"/>
      <c r="AY18" s="1240"/>
      <c r="AZ18" s="1240"/>
      <c r="BA18" s="1240"/>
      <c r="BB18" s="1240"/>
      <c r="BC18" s="1240"/>
      <c r="BD18" s="1240"/>
      <c r="BE18" s="1240"/>
      <c r="BF18" s="1240"/>
    </row>
    <row r="19" spans="1:58" x14ac:dyDescent="0.35">
      <c r="M19" s="801"/>
      <c r="N19" s="801"/>
      <c r="O19" s="801"/>
      <c r="P19" s="801"/>
      <c r="Q19" s="801"/>
    </row>
    <row r="20" spans="1:58" x14ac:dyDescent="0.35">
      <c r="M20" s="801"/>
      <c r="N20" s="801"/>
      <c r="O20" s="801"/>
      <c r="P20" s="801"/>
      <c r="Q20" s="801"/>
    </row>
    <row r="21" spans="1:58" x14ac:dyDescent="0.35">
      <c r="M21" s="801"/>
      <c r="N21" s="801"/>
      <c r="O21" s="801"/>
      <c r="P21" s="801"/>
      <c r="Q21" s="801"/>
    </row>
    <row r="22" spans="1:58" x14ac:dyDescent="0.35">
      <c r="M22" s="801"/>
      <c r="N22" s="801"/>
      <c r="O22" s="801"/>
      <c r="P22" s="801"/>
      <c r="Q22" s="801"/>
    </row>
  </sheetData>
  <mergeCells count="3">
    <mergeCell ref="A1:BF1"/>
    <mergeCell ref="A17:BF17"/>
    <mergeCell ref="A18:BF18"/>
  </mergeCells>
  <pageMargins left="0.71" right="0.33" top="0.75" bottom="0.75" header="0.3" footer="0.3"/>
  <pageSetup scale="9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7A090-EA72-4D08-AA25-1DADE255C2DE}">
  <dimension ref="A1:AW115"/>
  <sheetViews>
    <sheetView zoomScale="110" zoomScaleNormal="110" workbookViewId="0">
      <pane xSplit="1" ySplit="2" topLeftCell="B3" activePane="bottomRight" state="frozen"/>
      <selection pane="topRight" activeCell="B1" sqref="B1"/>
      <selection pane="bottomLeft" activeCell="A4" sqref="A4"/>
      <selection pane="bottomRight" activeCell="AS55" sqref="AS55"/>
    </sheetView>
  </sheetViews>
  <sheetFormatPr defaultColWidth="9.1796875" defaultRowHeight="13" x14ac:dyDescent="0.35"/>
  <cols>
    <col min="1" max="1" width="74.54296875" style="1040" customWidth="1"/>
    <col min="2" max="8" width="8.453125" style="1040" hidden="1" customWidth="1"/>
    <col min="9" max="43" width="7.81640625" style="1040" hidden="1" customWidth="1"/>
    <col min="44" max="45" width="7.81640625" style="1040" customWidth="1"/>
    <col min="46" max="46" width="8.6328125" style="1040" customWidth="1"/>
    <col min="47" max="16384" width="9.1796875" style="884"/>
  </cols>
  <sheetData>
    <row r="1" spans="1:46" ht="15" customHeight="1" x14ac:dyDescent="0.35">
      <c r="A1" s="68" t="s">
        <v>749</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884"/>
      <c r="AS1" s="884"/>
      <c r="AT1" s="884"/>
    </row>
    <row r="2" spans="1:46" ht="14.5" customHeight="1" x14ac:dyDescent="0.35">
      <c r="A2" s="885"/>
      <c r="B2" s="1045">
        <v>41983</v>
      </c>
      <c r="C2" s="1045">
        <v>42170</v>
      </c>
      <c r="D2" s="1045">
        <v>42248</v>
      </c>
      <c r="E2" s="1045">
        <v>42339</v>
      </c>
      <c r="F2" s="1045">
        <v>42430</v>
      </c>
      <c r="G2" s="1045">
        <v>42522</v>
      </c>
      <c r="H2" s="1045">
        <v>42614</v>
      </c>
      <c r="I2" s="1045">
        <v>42705</v>
      </c>
      <c r="J2" s="1045">
        <v>42795</v>
      </c>
      <c r="K2" s="1045">
        <v>42887</v>
      </c>
      <c r="L2" s="1045">
        <v>42979</v>
      </c>
      <c r="M2" s="1045">
        <v>43070</v>
      </c>
      <c r="N2" s="1045">
        <v>43160</v>
      </c>
      <c r="O2" s="1045">
        <v>43252</v>
      </c>
      <c r="P2" s="1045">
        <v>43344</v>
      </c>
      <c r="Q2" s="1045">
        <v>43435</v>
      </c>
      <c r="R2" s="1045">
        <v>43525</v>
      </c>
      <c r="S2" s="1045">
        <v>43617</v>
      </c>
      <c r="T2" s="1045">
        <v>43709</v>
      </c>
      <c r="U2" s="1045">
        <v>43830</v>
      </c>
      <c r="V2" s="1045">
        <v>43921</v>
      </c>
      <c r="W2" s="1045">
        <v>43983</v>
      </c>
      <c r="X2" s="1045">
        <v>44075</v>
      </c>
      <c r="Y2" s="1045">
        <v>44166</v>
      </c>
      <c r="Z2" s="1045">
        <v>44256</v>
      </c>
      <c r="AA2" s="1045">
        <v>44348</v>
      </c>
      <c r="AB2" s="1045">
        <v>44440</v>
      </c>
      <c r="AC2" s="1045">
        <v>44531</v>
      </c>
      <c r="AD2" s="1045">
        <v>44621</v>
      </c>
      <c r="AE2" s="1045">
        <v>44713</v>
      </c>
      <c r="AF2" s="1045">
        <v>44805</v>
      </c>
      <c r="AG2" s="1045">
        <v>44896</v>
      </c>
      <c r="AH2" s="1045">
        <v>44986</v>
      </c>
      <c r="AI2" s="1045">
        <v>45079</v>
      </c>
      <c r="AJ2" s="1045">
        <v>45170</v>
      </c>
      <c r="AK2" s="1045">
        <v>45261</v>
      </c>
      <c r="AL2" s="1045">
        <v>45352</v>
      </c>
      <c r="AM2" s="1045">
        <v>45444</v>
      </c>
      <c r="AN2" s="1045">
        <v>45536</v>
      </c>
      <c r="AO2" s="1045">
        <v>45627</v>
      </c>
      <c r="AP2" s="1045">
        <v>45717</v>
      </c>
      <c r="AQ2" s="1045">
        <v>45809</v>
      </c>
      <c r="AR2" s="1045">
        <v>45901</v>
      </c>
      <c r="AS2" s="1045">
        <v>45992</v>
      </c>
      <c r="AT2" s="1045">
        <v>46082</v>
      </c>
    </row>
    <row r="3" spans="1:46" ht="13" customHeight="1" x14ac:dyDescent="0.35">
      <c r="A3" s="886" t="s">
        <v>750</v>
      </c>
      <c r="B3" s="887"/>
      <c r="C3" s="887"/>
      <c r="D3" s="887"/>
      <c r="E3" s="887"/>
      <c r="F3" s="887"/>
      <c r="G3" s="887"/>
      <c r="H3" s="887"/>
      <c r="I3" s="887"/>
      <c r="J3" s="887"/>
      <c r="K3" s="887"/>
      <c r="L3" s="887"/>
      <c r="M3" s="887"/>
      <c r="N3" s="887"/>
      <c r="O3" s="887"/>
      <c r="P3" s="887"/>
      <c r="Q3" s="887"/>
      <c r="R3" s="887"/>
      <c r="S3" s="887"/>
      <c r="T3" s="887"/>
      <c r="U3" s="887"/>
      <c r="V3" s="887"/>
      <c r="W3" s="887"/>
      <c r="X3" s="887"/>
      <c r="Y3" s="887"/>
      <c r="Z3" s="887"/>
      <c r="AA3" s="887"/>
      <c r="AB3" s="887"/>
      <c r="AC3" s="887"/>
      <c r="AD3" s="887"/>
      <c r="AE3" s="887"/>
      <c r="AF3" s="887"/>
      <c r="AG3" s="887"/>
      <c r="AH3" s="887"/>
      <c r="AI3" s="887"/>
      <c r="AJ3" s="887"/>
      <c r="AK3" s="887"/>
      <c r="AL3" s="887"/>
      <c r="AM3" s="887"/>
      <c r="AN3" s="887"/>
      <c r="AO3" s="887"/>
      <c r="AP3" s="887"/>
      <c r="AQ3" s="887"/>
      <c r="AR3" s="887"/>
      <c r="AS3" s="887"/>
      <c r="AT3" s="887"/>
    </row>
    <row r="4" spans="1:46" ht="12" customHeight="1" x14ac:dyDescent="0.35">
      <c r="A4" s="888" t="s">
        <v>788</v>
      </c>
      <c r="B4" s="889">
        <v>52.2</v>
      </c>
      <c r="C4" s="889">
        <v>53.6</v>
      </c>
      <c r="D4" s="889">
        <v>54.3</v>
      </c>
      <c r="E4" s="889">
        <v>54</v>
      </c>
      <c r="F4" s="889">
        <v>53.9</v>
      </c>
      <c r="G4" s="889">
        <v>54.3</v>
      </c>
      <c r="H4" s="889">
        <v>53.8</v>
      </c>
      <c r="I4" s="889">
        <v>54.6</v>
      </c>
      <c r="J4" s="889">
        <v>54.1</v>
      </c>
      <c r="K4" s="889">
        <v>53.8</v>
      </c>
      <c r="L4" s="889">
        <v>54.2</v>
      </c>
      <c r="M4" s="889">
        <v>53.9</v>
      </c>
      <c r="N4" s="889">
        <v>54.2</v>
      </c>
      <c r="O4" s="889">
        <v>54.7</v>
      </c>
      <c r="P4" s="889">
        <v>55.2</v>
      </c>
      <c r="Q4" s="889">
        <v>54.7</v>
      </c>
      <c r="R4" s="889">
        <v>55.8</v>
      </c>
      <c r="S4" s="889">
        <v>56</v>
      </c>
      <c r="T4" s="889">
        <v>56.9</v>
      </c>
      <c r="U4" s="889">
        <v>57.3</v>
      </c>
      <c r="V4" s="889">
        <v>57.4</v>
      </c>
      <c r="W4" s="889">
        <v>72.900000000000006</v>
      </c>
      <c r="X4" s="889">
        <v>73.8</v>
      </c>
      <c r="Y4" s="889">
        <v>73.5</v>
      </c>
      <c r="Z4" s="889">
        <v>80.5</v>
      </c>
      <c r="AA4" s="889">
        <v>84.9</v>
      </c>
      <c r="AB4" s="889">
        <v>85.9</v>
      </c>
      <c r="AC4" s="889">
        <v>81.099999999999994</v>
      </c>
      <c r="AD4" s="889">
        <v>80</v>
      </c>
      <c r="AE4" s="889">
        <v>78.2</v>
      </c>
      <c r="AF4" s="889">
        <v>76.099999999999994</v>
      </c>
      <c r="AG4" s="889">
        <v>74.900000000000006</v>
      </c>
      <c r="AH4" s="889">
        <v>74.5</v>
      </c>
      <c r="AI4" s="889">
        <v>74.099999999999994</v>
      </c>
      <c r="AJ4" s="889">
        <v>72.900000000000006</v>
      </c>
      <c r="AK4" s="889">
        <v>73.2</v>
      </c>
      <c r="AL4" s="889">
        <v>73.5</v>
      </c>
      <c r="AM4" s="889">
        <v>74</v>
      </c>
      <c r="AN4" s="889">
        <v>76.8</v>
      </c>
      <c r="AO4" s="889">
        <v>77.599999999999994</v>
      </c>
      <c r="AP4" s="889">
        <v>79.2</v>
      </c>
      <c r="AQ4" s="889">
        <v>79.5</v>
      </c>
      <c r="AR4" s="889">
        <v>81.099999999999994</v>
      </c>
      <c r="AS4" s="889">
        <v>80.599999999999994</v>
      </c>
      <c r="AT4" s="889">
        <v>80.8</v>
      </c>
    </row>
    <row r="5" spans="1:46" ht="12" customHeight="1" x14ac:dyDescent="0.35">
      <c r="A5" s="888" t="s">
        <v>751</v>
      </c>
      <c r="B5" s="890"/>
      <c r="C5" s="890"/>
      <c r="D5" s="890"/>
      <c r="E5" s="890"/>
      <c r="F5" s="890"/>
      <c r="G5" s="890"/>
      <c r="H5" s="890"/>
      <c r="I5" s="890"/>
      <c r="J5" s="890"/>
      <c r="K5" s="890"/>
      <c r="L5" s="890"/>
      <c r="M5" s="890"/>
      <c r="N5" s="890"/>
      <c r="O5" s="890"/>
      <c r="P5" s="890"/>
      <c r="Q5" s="890"/>
      <c r="R5" s="890"/>
      <c r="S5" s="890"/>
      <c r="T5" s="890"/>
      <c r="U5" s="890"/>
      <c r="V5" s="890"/>
      <c r="W5" s="890"/>
      <c r="X5" s="890"/>
      <c r="Y5" s="890"/>
      <c r="Z5" s="890"/>
      <c r="AA5" s="890"/>
      <c r="AB5" s="890"/>
      <c r="AC5" s="890"/>
      <c r="AD5" s="890"/>
      <c r="AE5" s="890"/>
      <c r="AF5" s="890"/>
      <c r="AG5" s="890"/>
      <c r="AH5" s="890"/>
      <c r="AI5" s="890"/>
      <c r="AJ5" s="890"/>
      <c r="AK5" s="890"/>
      <c r="AL5" s="890"/>
      <c r="AM5" s="890"/>
      <c r="AN5" s="890"/>
      <c r="AO5" s="890"/>
      <c r="AP5" s="890"/>
      <c r="AQ5" s="890"/>
      <c r="AR5" s="890"/>
      <c r="AS5" s="890"/>
      <c r="AT5" s="890"/>
    </row>
    <row r="6" spans="1:46" ht="12" customHeight="1" x14ac:dyDescent="0.35">
      <c r="A6" s="891" t="s">
        <v>752</v>
      </c>
      <c r="B6" s="889">
        <v>2.5</v>
      </c>
      <c r="C6" s="889">
        <v>2.4</v>
      </c>
      <c r="D6" s="889">
        <v>2.2999999999999998</v>
      </c>
      <c r="E6" s="889">
        <v>2.2999999999999998</v>
      </c>
      <c r="F6" s="889">
        <v>2.2000000000000002</v>
      </c>
      <c r="G6" s="889">
        <v>2.2000000000000002</v>
      </c>
      <c r="H6" s="889">
        <v>2.2999999999999998</v>
      </c>
      <c r="I6" s="889">
        <v>2.2999999999999998</v>
      </c>
      <c r="J6" s="889">
        <v>2.2999999999999998</v>
      </c>
      <c r="K6" s="889">
        <v>2.2999999999999998</v>
      </c>
      <c r="L6" s="889">
        <v>2.2999999999999998</v>
      </c>
      <c r="M6" s="889">
        <v>2.2999999999999998</v>
      </c>
      <c r="N6" s="889">
        <v>2.2999999999999998</v>
      </c>
      <c r="O6" s="889">
        <v>2.2999999999999998</v>
      </c>
      <c r="P6" s="889">
        <v>2.4</v>
      </c>
      <c r="Q6" s="889">
        <v>2.4</v>
      </c>
      <c r="R6" s="889">
        <v>2.4</v>
      </c>
      <c r="S6" s="889">
        <v>2.5</v>
      </c>
      <c r="T6" s="889">
        <v>2.5</v>
      </c>
      <c r="U6" s="889">
        <v>2.5</v>
      </c>
      <c r="V6" s="889">
        <v>2.6</v>
      </c>
      <c r="W6" s="889">
        <v>2.8</v>
      </c>
      <c r="X6" s="889">
        <v>2.8</v>
      </c>
      <c r="Y6" s="889">
        <v>2.8</v>
      </c>
      <c r="Z6" s="889">
        <v>2.8</v>
      </c>
      <c r="AA6" s="889">
        <v>2.7</v>
      </c>
      <c r="AB6" s="889">
        <v>2.6</v>
      </c>
      <c r="AC6" s="889">
        <v>2.6</v>
      </c>
      <c r="AD6" s="889">
        <v>2.6</v>
      </c>
      <c r="AE6" s="889">
        <v>2.5</v>
      </c>
      <c r="AF6" s="889">
        <v>2.4</v>
      </c>
      <c r="AG6" s="889">
        <v>2.4</v>
      </c>
      <c r="AH6" s="889">
        <v>2.5</v>
      </c>
      <c r="AI6" s="889">
        <v>2.6</v>
      </c>
      <c r="AJ6" s="889">
        <v>2.7</v>
      </c>
      <c r="AK6" s="889">
        <v>2.7</v>
      </c>
      <c r="AL6" s="889">
        <v>2.7</v>
      </c>
      <c r="AM6" s="889">
        <v>2.7</v>
      </c>
      <c r="AN6" s="889">
        <v>2.7</v>
      </c>
      <c r="AO6" s="889">
        <v>2.8</v>
      </c>
      <c r="AP6" s="889">
        <v>2.9</v>
      </c>
      <c r="AQ6" s="889">
        <v>3</v>
      </c>
      <c r="AR6" s="889">
        <v>3.2</v>
      </c>
      <c r="AS6" s="889">
        <v>3.3</v>
      </c>
      <c r="AT6" s="889">
        <v>3.4</v>
      </c>
    </row>
    <row r="7" spans="1:46" ht="12" customHeight="1" x14ac:dyDescent="0.35">
      <c r="A7" s="891" t="s">
        <v>753</v>
      </c>
      <c r="B7" s="889">
        <v>12.7</v>
      </c>
      <c r="C7" s="889">
        <v>12.3</v>
      </c>
      <c r="D7" s="889">
        <v>12.3</v>
      </c>
      <c r="E7" s="889">
        <v>12</v>
      </c>
      <c r="F7" s="889">
        <v>11.6</v>
      </c>
      <c r="G7" s="889">
        <v>11.5</v>
      </c>
      <c r="H7" s="889">
        <v>11.7</v>
      </c>
      <c r="I7" s="889">
        <v>11.7</v>
      </c>
      <c r="J7" s="889">
        <v>12.1</v>
      </c>
      <c r="K7" s="889">
        <v>12</v>
      </c>
      <c r="L7" s="889">
        <v>11.9</v>
      </c>
      <c r="M7" s="889">
        <v>11.7</v>
      </c>
      <c r="N7" s="889">
        <v>11.7</v>
      </c>
      <c r="O7" s="889">
        <v>11.6</v>
      </c>
      <c r="P7" s="889">
        <v>11.8</v>
      </c>
      <c r="Q7" s="889">
        <v>11.9</v>
      </c>
      <c r="R7" s="889">
        <v>12.1</v>
      </c>
      <c r="S7" s="889">
        <v>11.9</v>
      </c>
      <c r="T7" s="889">
        <v>12.1</v>
      </c>
      <c r="U7" s="889">
        <v>12.2</v>
      </c>
      <c r="V7" s="889">
        <v>12.3</v>
      </c>
      <c r="W7" s="889">
        <v>13.4</v>
      </c>
      <c r="X7" s="889">
        <v>10.199999999999999</v>
      </c>
      <c r="Y7" s="889">
        <v>10.1</v>
      </c>
      <c r="Z7" s="889">
        <v>10.1</v>
      </c>
      <c r="AA7" s="889">
        <v>9.6</v>
      </c>
      <c r="AB7" s="889">
        <v>12.4</v>
      </c>
      <c r="AC7" s="889">
        <v>11.6</v>
      </c>
      <c r="AD7" s="889">
        <v>10.8</v>
      </c>
      <c r="AE7" s="889">
        <v>10.1</v>
      </c>
      <c r="AF7" s="889">
        <v>9.8000000000000007</v>
      </c>
      <c r="AG7" s="889">
        <v>9.8000000000000007</v>
      </c>
      <c r="AH7" s="889">
        <v>10.199999999999999</v>
      </c>
      <c r="AI7" s="889">
        <v>10.7</v>
      </c>
      <c r="AJ7" s="889">
        <v>11.4</v>
      </c>
      <c r="AK7" s="889">
        <v>11.2</v>
      </c>
      <c r="AL7" s="889">
        <v>11.3</v>
      </c>
      <c r="AM7" s="889">
        <v>11.2</v>
      </c>
      <c r="AN7" s="889">
        <v>11</v>
      </c>
      <c r="AO7" s="889">
        <v>11.3</v>
      </c>
      <c r="AP7" s="889">
        <v>11.4</v>
      </c>
      <c r="AQ7" s="889">
        <v>11.9</v>
      </c>
      <c r="AR7" s="889">
        <v>12.4</v>
      </c>
      <c r="AS7" s="889">
        <v>12.8</v>
      </c>
      <c r="AT7" s="889">
        <v>13</v>
      </c>
    </row>
    <row r="8" spans="1:46" ht="12" customHeight="1" x14ac:dyDescent="0.35">
      <c r="A8" s="892" t="s">
        <v>754</v>
      </c>
      <c r="B8" s="889">
        <v>5.7</v>
      </c>
      <c r="C8" s="889">
        <v>5.4</v>
      </c>
      <c r="D8" s="889">
        <v>5.2</v>
      </c>
      <c r="E8" s="889">
        <v>5.0999999999999996</v>
      </c>
      <c r="F8" s="889">
        <v>4.8</v>
      </c>
      <c r="G8" s="889">
        <v>4.8</v>
      </c>
      <c r="H8" s="889">
        <v>4.8</v>
      </c>
      <c r="I8" s="889">
        <v>4.8</v>
      </c>
      <c r="J8" s="889">
        <v>4.9000000000000004</v>
      </c>
      <c r="K8" s="889">
        <v>4.9000000000000004</v>
      </c>
      <c r="L8" s="889">
        <v>4.8</v>
      </c>
      <c r="M8" s="889">
        <v>4.8</v>
      </c>
      <c r="N8" s="889">
        <v>4.8</v>
      </c>
      <c r="O8" s="889">
        <v>4.7</v>
      </c>
      <c r="P8" s="889">
        <v>4.8</v>
      </c>
      <c r="Q8" s="889">
        <v>4.9000000000000004</v>
      </c>
      <c r="R8" s="889">
        <v>4.8</v>
      </c>
      <c r="S8" s="889">
        <v>4.8</v>
      </c>
      <c r="T8" s="889">
        <v>4.7</v>
      </c>
      <c r="U8" s="889">
        <v>4.7</v>
      </c>
      <c r="V8" s="889">
        <v>4.7</v>
      </c>
      <c r="W8" s="889">
        <v>4.5999999999999996</v>
      </c>
      <c r="X8" s="889">
        <v>4.4000000000000004</v>
      </c>
      <c r="Y8" s="889">
        <v>4.2</v>
      </c>
      <c r="Z8" s="889">
        <v>4.0999999999999996</v>
      </c>
      <c r="AA8" s="889">
        <v>3.9</v>
      </c>
      <c r="AB8" s="889">
        <v>3.8</v>
      </c>
      <c r="AC8" s="889">
        <v>3.7</v>
      </c>
      <c r="AD8" s="889">
        <v>3.7</v>
      </c>
      <c r="AE8" s="889">
        <v>3.8</v>
      </c>
      <c r="AF8" s="889">
        <v>3.7</v>
      </c>
      <c r="AG8" s="889">
        <v>3.7</v>
      </c>
      <c r="AH8" s="889">
        <v>3.8</v>
      </c>
      <c r="AI8" s="889">
        <v>3.9</v>
      </c>
      <c r="AJ8" s="889">
        <v>4</v>
      </c>
      <c r="AK8" s="889">
        <v>4.0999999999999996</v>
      </c>
      <c r="AL8" s="889">
        <v>4</v>
      </c>
      <c r="AM8" s="889">
        <v>4</v>
      </c>
      <c r="AN8" s="889">
        <v>4</v>
      </c>
      <c r="AO8" s="889">
        <v>4</v>
      </c>
      <c r="AP8" s="889">
        <v>4.0999999999999996</v>
      </c>
      <c r="AQ8" s="889">
        <v>4.0999999999999996</v>
      </c>
      <c r="AR8" s="889">
        <v>4.2</v>
      </c>
      <c r="AS8" s="889">
        <v>4.4000000000000004</v>
      </c>
      <c r="AT8" s="889">
        <v>4.5</v>
      </c>
    </row>
    <row r="9" spans="1:46" ht="12" customHeight="1" x14ac:dyDescent="0.35">
      <c r="A9" s="888" t="s">
        <v>755</v>
      </c>
      <c r="B9" s="890"/>
      <c r="C9" s="890"/>
      <c r="D9" s="890"/>
      <c r="E9" s="890"/>
      <c r="F9" s="890"/>
      <c r="G9" s="890"/>
      <c r="H9" s="890"/>
      <c r="I9" s="890"/>
      <c r="J9" s="890"/>
      <c r="K9" s="890"/>
      <c r="L9" s="890"/>
      <c r="M9" s="890"/>
      <c r="N9" s="890"/>
      <c r="O9" s="890"/>
      <c r="P9" s="890"/>
      <c r="Q9" s="890"/>
      <c r="R9" s="890"/>
      <c r="S9" s="890"/>
      <c r="T9" s="890"/>
      <c r="U9" s="890"/>
      <c r="V9" s="890"/>
      <c r="W9" s="890"/>
      <c r="X9" s="890"/>
      <c r="Y9" s="890"/>
      <c r="Z9" s="890"/>
      <c r="AA9" s="890"/>
      <c r="AB9" s="890"/>
      <c r="AC9" s="890"/>
      <c r="AD9" s="890"/>
      <c r="AE9" s="890"/>
      <c r="AF9" s="890"/>
      <c r="AG9" s="890"/>
      <c r="AH9" s="890"/>
      <c r="AI9" s="890"/>
      <c r="AJ9" s="890"/>
      <c r="AK9" s="890"/>
      <c r="AL9" s="890"/>
      <c r="AM9" s="890"/>
      <c r="AN9" s="890"/>
      <c r="AO9" s="890"/>
      <c r="AP9" s="890"/>
      <c r="AQ9" s="890"/>
      <c r="AR9" s="890"/>
      <c r="AS9" s="890"/>
      <c r="AT9" s="890"/>
    </row>
    <row r="10" spans="1:46" ht="12" customHeight="1" x14ac:dyDescent="0.35">
      <c r="A10" s="891" t="s">
        <v>756</v>
      </c>
      <c r="B10" s="889">
        <v>24.3</v>
      </c>
      <c r="C10" s="889">
        <v>24.5</v>
      </c>
      <c r="D10" s="889">
        <v>23.9</v>
      </c>
      <c r="E10" s="889">
        <v>23.7</v>
      </c>
      <c r="F10" s="889">
        <v>23.1</v>
      </c>
      <c r="G10" s="889">
        <v>22.4</v>
      </c>
      <c r="H10" s="889">
        <v>22.1</v>
      </c>
      <c r="I10" s="889">
        <v>20.8</v>
      </c>
      <c r="J10" s="889">
        <v>18.600000000000001</v>
      </c>
      <c r="K10" s="889">
        <v>18.399999999999999</v>
      </c>
      <c r="L10" s="889">
        <v>17.600000000000001</v>
      </c>
      <c r="M10" s="889">
        <v>17.5</v>
      </c>
      <c r="N10" s="889">
        <v>16.899999999999999</v>
      </c>
      <c r="O10" s="889">
        <v>16.5</v>
      </c>
      <c r="P10" s="889">
        <v>15.3</v>
      </c>
      <c r="Q10" s="889">
        <v>14.9</v>
      </c>
      <c r="R10" s="889">
        <v>14.1</v>
      </c>
      <c r="S10" s="889">
        <v>13.9</v>
      </c>
      <c r="T10" s="889">
        <v>13.3</v>
      </c>
      <c r="U10" s="889">
        <v>13.3</v>
      </c>
      <c r="V10" s="889">
        <v>11.3</v>
      </c>
      <c r="W10" s="889">
        <v>12.5</v>
      </c>
      <c r="X10" s="889">
        <v>17.2</v>
      </c>
      <c r="Y10" s="889">
        <v>17.899999999999999</v>
      </c>
      <c r="Z10" s="889">
        <v>19.5</v>
      </c>
      <c r="AA10" s="889">
        <v>18.3</v>
      </c>
      <c r="AB10" s="889">
        <v>19.2</v>
      </c>
      <c r="AC10" s="889">
        <v>19.600000000000001</v>
      </c>
      <c r="AD10" s="889">
        <v>19.100000000000001</v>
      </c>
      <c r="AE10" s="889">
        <v>17.8</v>
      </c>
      <c r="AF10" s="889">
        <v>16.2</v>
      </c>
      <c r="AG10" s="889">
        <v>19.100000000000001</v>
      </c>
      <c r="AH10" s="889">
        <v>19.600000000000001</v>
      </c>
      <c r="AI10" s="889">
        <v>18.7</v>
      </c>
      <c r="AJ10" s="889">
        <v>17.600000000000001</v>
      </c>
      <c r="AK10" s="889">
        <v>18</v>
      </c>
      <c r="AL10" s="889">
        <v>17.899999999999999</v>
      </c>
      <c r="AM10" s="889">
        <v>17.399999999999999</v>
      </c>
      <c r="AN10" s="889">
        <v>18.600000000000001</v>
      </c>
      <c r="AO10" s="889">
        <v>18</v>
      </c>
      <c r="AP10" s="889">
        <v>16.899999999999999</v>
      </c>
      <c r="AQ10" s="889">
        <v>17</v>
      </c>
      <c r="AR10" s="889">
        <v>16.399999999999999</v>
      </c>
      <c r="AS10" s="889">
        <v>16.5</v>
      </c>
      <c r="AT10" s="889">
        <v>16.2</v>
      </c>
    </row>
    <row r="11" spans="1:46" ht="12" customHeight="1" x14ac:dyDescent="0.35">
      <c r="A11" s="891" t="s">
        <v>757</v>
      </c>
      <c r="B11" s="889">
        <v>75.7</v>
      </c>
      <c r="C11" s="889">
        <v>75.5</v>
      </c>
      <c r="D11" s="889">
        <v>76.2</v>
      </c>
      <c r="E11" s="889">
        <v>76.3</v>
      </c>
      <c r="F11" s="889">
        <v>76.900000000000006</v>
      </c>
      <c r="G11" s="889">
        <v>77.599999999999994</v>
      </c>
      <c r="H11" s="889">
        <v>77.900000000000006</v>
      </c>
      <c r="I11" s="889">
        <v>79.2</v>
      </c>
      <c r="J11" s="889">
        <v>81.400000000000006</v>
      </c>
      <c r="K11" s="889">
        <v>81.599999999999994</v>
      </c>
      <c r="L11" s="889">
        <v>82.4</v>
      </c>
      <c r="M11" s="889">
        <v>82.5</v>
      </c>
      <c r="N11" s="889">
        <v>83.1</v>
      </c>
      <c r="O11" s="889">
        <v>83.5</v>
      </c>
      <c r="P11" s="889">
        <v>84.7</v>
      </c>
      <c r="Q11" s="889">
        <v>85.1</v>
      </c>
      <c r="R11" s="889">
        <v>85.9</v>
      </c>
      <c r="S11" s="889">
        <v>86.1</v>
      </c>
      <c r="T11" s="889">
        <v>86.7</v>
      </c>
      <c r="U11" s="889">
        <v>86.7</v>
      </c>
      <c r="V11" s="889">
        <v>88.7</v>
      </c>
      <c r="W11" s="889">
        <v>87.5</v>
      </c>
      <c r="X11" s="889">
        <v>82.8</v>
      </c>
      <c r="Y11" s="889">
        <v>82.1</v>
      </c>
      <c r="Z11" s="889">
        <v>80.5</v>
      </c>
      <c r="AA11" s="889">
        <v>81.7</v>
      </c>
      <c r="AB11" s="889">
        <v>80.8</v>
      </c>
      <c r="AC11" s="889">
        <v>80.400000000000006</v>
      </c>
      <c r="AD11" s="889">
        <v>80.900000000000006</v>
      </c>
      <c r="AE11" s="889">
        <v>82.2</v>
      </c>
      <c r="AF11" s="889">
        <v>83.8</v>
      </c>
      <c r="AG11" s="889">
        <v>80.900000000000006</v>
      </c>
      <c r="AH11" s="889">
        <v>80.400000000000006</v>
      </c>
      <c r="AI11" s="889">
        <v>81.3</v>
      </c>
      <c r="AJ11" s="889">
        <v>82.4</v>
      </c>
      <c r="AK11" s="889">
        <v>82</v>
      </c>
      <c r="AL11" s="889">
        <v>82.1</v>
      </c>
      <c r="AM11" s="889">
        <v>82.6</v>
      </c>
      <c r="AN11" s="889">
        <v>81.400000000000006</v>
      </c>
      <c r="AO11" s="889">
        <v>82</v>
      </c>
      <c r="AP11" s="889">
        <v>83.1</v>
      </c>
      <c r="AQ11" s="889">
        <v>83</v>
      </c>
      <c r="AR11" s="889">
        <v>83.6</v>
      </c>
      <c r="AS11" s="889">
        <v>83.5</v>
      </c>
      <c r="AT11" s="889">
        <v>83.8</v>
      </c>
    </row>
    <row r="12" spans="1:46" ht="12" customHeight="1" x14ac:dyDescent="0.35">
      <c r="A12" s="888" t="s">
        <v>758</v>
      </c>
      <c r="B12" s="890"/>
      <c r="C12" s="890"/>
      <c r="D12" s="890"/>
      <c r="E12" s="890"/>
      <c r="F12" s="890"/>
      <c r="G12" s="890"/>
      <c r="H12" s="890"/>
      <c r="I12" s="890"/>
      <c r="J12" s="890"/>
      <c r="K12" s="890"/>
      <c r="L12" s="890"/>
      <c r="M12" s="890"/>
      <c r="N12" s="890"/>
      <c r="O12" s="890"/>
      <c r="P12" s="890"/>
      <c r="Q12" s="890"/>
      <c r="R12" s="890"/>
      <c r="S12" s="890"/>
      <c r="T12" s="890"/>
      <c r="U12" s="890"/>
      <c r="V12" s="890"/>
      <c r="W12" s="890"/>
      <c r="X12" s="890"/>
      <c r="Y12" s="890"/>
      <c r="Z12" s="890"/>
      <c r="AA12" s="890"/>
      <c r="AB12" s="890"/>
      <c r="AC12" s="890"/>
      <c r="AD12" s="890"/>
      <c r="AE12" s="890"/>
      <c r="AF12" s="890"/>
      <c r="AG12" s="890"/>
      <c r="AH12" s="890"/>
      <c r="AI12" s="890"/>
      <c r="AJ12" s="890"/>
      <c r="AK12" s="890"/>
      <c r="AL12" s="890"/>
      <c r="AM12" s="890"/>
      <c r="AN12" s="890"/>
      <c r="AO12" s="890"/>
      <c r="AP12" s="890"/>
      <c r="AQ12" s="890"/>
      <c r="AR12" s="890"/>
      <c r="AS12" s="890"/>
      <c r="AT12" s="890"/>
    </row>
    <row r="13" spans="1:46" ht="12" customHeight="1" x14ac:dyDescent="0.35">
      <c r="A13" s="891" t="s">
        <v>759</v>
      </c>
      <c r="B13" s="889">
        <v>39.510781854595656</v>
      </c>
      <c r="C13" s="889">
        <v>41.245818939518564</v>
      </c>
      <c r="D13" s="889">
        <v>41.6</v>
      </c>
      <c r="E13" s="889">
        <v>41.819079669324751</v>
      </c>
      <c r="F13" s="889">
        <v>41.535243595439063</v>
      </c>
      <c r="G13" s="889">
        <v>41.8</v>
      </c>
      <c r="H13" s="889">
        <v>41.4</v>
      </c>
      <c r="I13" s="889">
        <v>40.6</v>
      </c>
      <c r="J13" s="889">
        <v>34.799999999999997</v>
      </c>
      <c r="K13" s="889">
        <v>33.5</v>
      </c>
      <c r="L13" s="889">
        <v>32.9</v>
      </c>
      <c r="M13" s="889">
        <v>32.299999999999997</v>
      </c>
      <c r="N13" s="889">
        <v>30.3</v>
      </c>
      <c r="O13" s="889">
        <v>31.3</v>
      </c>
      <c r="P13" s="889">
        <v>31.2</v>
      </c>
      <c r="Q13" s="889">
        <v>31.5</v>
      </c>
      <c r="R13" s="889">
        <v>31.431729825738095</v>
      </c>
      <c r="S13" s="889">
        <v>31.8</v>
      </c>
      <c r="T13" s="889">
        <v>31.8</v>
      </c>
      <c r="U13" s="889">
        <v>31.4</v>
      </c>
      <c r="V13" s="889">
        <v>16.600000000000001</v>
      </c>
      <c r="W13" s="889">
        <v>12.8</v>
      </c>
      <c r="X13" s="889">
        <v>9.6</v>
      </c>
      <c r="Y13" s="889">
        <v>9</v>
      </c>
      <c r="Z13" s="889">
        <v>7.2</v>
      </c>
      <c r="AA13" s="889">
        <v>7.2</v>
      </c>
      <c r="AB13" s="889">
        <v>6.2</v>
      </c>
      <c r="AC13" s="889">
        <v>6.2</v>
      </c>
      <c r="AD13" s="889">
        <v>6.5</v>
      </c>
      <c r="AE13" s="889">
        <v>7.3</v>
      </c>
      <c r="AF13" s="889">
        <v>6.8</v>
      </c>
      <c r="AG13" s="889">
        <v>19.2</v>
      </c>
      <c r="AH13" s="889">
        <v>19.3</v>
      </c>
      <c r="AI13" s="889">
        <v>19.5</v>
      </c>
      <c r="AJ13" s="889">
        <v>20</v>
      </c>
      <c r="AK13" s="889">
        <v>18.7</v>
      </c>
      <c r="AL13" s="889">
        <v>19.100000000000001</v>
      </c>
      <c r="AM13" s="889">
        <v>19.399999999999999</v>
      </c>
      <c r="AN13" s="889">
        <v>28</v>
      </c>
      <c r="AO13" s="889">
        <v>28.665225977893353</v>
      </c>
      <c r="AP13" s="889">
        <v>28.3</v>
      </c>
      <c r="AQ13" s="889">
        <v>27.1</v>
      </c>
      <c r="AR13" s="889">
        <v>27.3</v>
      </c>
      <c r="AS13" s="889">
        <v>26.9</v>
      </c>
      <c r="AT13" s="889">
        <v>27.3</v>
      </c>
    </row>
    <row r="14" spans="1:46" ht="12" customHeight="1" x14ac:dyDescent="0.35">
      <c r="A14" s="891" t="s">
        <v>760</v>
      </c>
      <c r="B14" s="889">
        <v>34.655544537128854</v>
      </c>
      <c r="C14" s="889">
        <v>32.530935278097637</v>
      </c>
      <c r="D14" s="889">
        <v>32.5</v>
      </c>
      <c r="E14" s="889">
        <v>31.948203965176674</v>
      </c>
      <c r="F14" s="889">
        <v>32.491115059973346</v>
      </c>
      <c r="G14" s="889">
        <v>32.1</v>
      </c>
      <c r="H14" s="889">
        <v>32.700000000000003</v>
      </c>
      <c r="I14" s="889">
        <v>34.799999999999997</v>
      </c>
      <c r="J14" s="889">
        <v>38</v>
      </c>
      <c r="K14" s="889">
        <v>39.1</v>
      </c>
      <c r="L14" s="889">
        <v>39.799999999999997</v>
      </c>
      <c r="M14" s="889">
        <v>40.700000000000003</v>
      </c>
      <c r="N14" s="889">
        <v>42.4</v>
      </c>
      <c r="O14" s="889">
        <v>41.8</v>
      </c>
      <c r="P14" s="889">
        <v>42.2</v>
      </c>
      <c r="Q14" s="889">
        <v>41.8</v>
      </c>
      <c r="R14" s="889">
        <v>41.333482381289514</v>
      </c>
      <c r="S14" s="889">
        <v>42</v>
      </c>
      <c r="T14" s="889">
        <v>41.1</v>
      </c>
      <c r="U14" s="889">
        <v>41</v>
      </c>
      <c r="V14" s="889">
        <v>49</v>
      </c>
      <c r="W14" s="889">
        <v>58.2</v>
      </c>
      <c r="X14" s="889">
        <v>67.8</v>
      </c>
      <c r="Y14" s="889">
        <v>68.400000000000006</v>
      </c>
      <c r="Z14" s="889">
        <v>56.3</v>
      </c>
      <c r="AA14" s="889">
        <v>57.7</v>
      </c>
      <c r="AB14" s="889">
        <v>51.3</v>
      </c>
      <c r="AC14" s="889">
        <v>50.8</v>
      </c>
      <c r="AD14" s="889">
        <v>50.8</v>
      </c>
      <c r="AE14" s="889">
        <v>50</v>
      </c>
      <c r="AF14" s="889">
        <v>49.9</v>
      </c>
      <c r="AG14" s="889">
        <v>43.1</v>
      </c>
      <c r="AH14" s="889">
        <v>43.3</v>
      </c>
      <c r="AI14" s="889">
        <v>43.5</v>
      </c>
      <c r="AJ14" s="889">
        <v>43.1</v>
      </c>
      <c r="AK14" s="889">
        <v>45.4</v>
      </c>
      <c r="AL14" s="889">
        <v>45.2</v>
      </c>
      <c r="AM14" s="889">
        <v>45.3</v>
      </c>
      <c r="AN14" s="889">
        <v>40</v>
      </c>
      <c r="AO14" s="889">
        <v>40.261391953511939</v>
      </c>
      <c r="AP14" s="889">
        <v>41</v>
      </c>
      <c r="AQ14" s="889">
        <v>42.5</v>
      </c>
      <c r="AR14" s="889">
        <v>42.7</v>
      </c>
      <c r="AS14" s="889">
        <v>43.7</v>
      </c>
      <c r="AT14" s="889">
        <v>43</v>
      </c>
    </row>
    <row r="15" spans="1:46" ht="12" customHeight="1" x14ac:dyDescent="0.35">
      <c r="A15" s="891" t="s">
        <v>761</v>
      </c>
      <c r="B15" s="889">
        <v>1.3</v>
      </c>
      <c r="C15" s="889">
        <v>1.3</v>
      </c>
      <c r="D15" s="889">
        <v>1.3</v>
      </c>
      <c r="E15" s="889">
        <v>1.3</v>
      </c>
      <c r="F15" s="889">
        <v>1.3</v>
      </c>
      <c r="G15" s="889">
        <v>1.4</v>
      </c>
      <c r="H15" s="889">
        <v>1.4</v>
      </c>
      <c r="I15" s="889">
        <v>1.2</v>
      </c>
      <c r="J15" s="889">
        <v>1.3</v>
      </c>
      <c r="K15" s="889">
        <v>1.3</v>
      </c>
      <c r="L15" s="889">
        <v>1.2</v>
      </c>
      <c r="M15" s="889">
        <v>1.2</v>
      </c>
      <c r="N15" s="889">
        <v>1.1000000000000001</v>
      </c>
      <c r="O15" s="889">
        <v>1.1000000000000001</v>
      </c>
      <c r="P15" s="889">
        <v>1</v>
      </c>
      <c r="Q15" s="889">
        <v>1.1000000000000001</v>
      </c>
      <c r="R15" s="889">
        <v>1</v>
      </c>
      <c r="S15" s="889">
        <v>1</v>
      </c>
      <c r="T15" s="889">
        <v>1</v>
      </c>
      <c r="U15" s="889">
        <v>0.9</v>
      </c>
      <c r="V15" s="889">
        <v>2</v>
      </c>
      <c r="W15" s="889">
        <v>1.5</v>
      </c>
      <c r="X15" s="889">
        <v>1.2</v>
      </c>
      <c r="Y15" s="889">
        <v>1.2</v>
      </c>
      <c r="Z15" s="889">
        <v>16.399999999999999</v>
      </c>
      <c r="AA15" s="889">
        <v>16.8</v>
      </c>
      <c r="AB15" s="889">
        <v>15.5</v>
      </c>
      <c r="AC15" s="889">
        <v>15.4</v>
      </c>
      <c r="AD15" s="889">
        <v>15</v>
      </c>
      <c r="AE15" s="889">
        <v>14.3</v>
      </c>
      <c r="AF15" s="889">
        <v>14.5</v>
      </c>
      <c r="AG15" s="889">
        <v>12.8</v>
      </c>
      <c r="AH15" s="889">
        <v>12.6</v>
      </c>
      <c r="AI15" s="889">
        <v>11.9</v>
      </c>
      <c r="AJ15" s="889">
        <v>11.5</v>
      </c>
      <c r="AK15" s="889">
        <v>11.4</v>
      </c>
      <c r="AL15" s="889">
        <v>11</v>
      </c>
      <c r="AM15" s="889">
        <v>10.5</v>
      </c>
      <c r="AN15" s="889">
        <v>10.199999999999999</v>
      </c>
      <c r="AO15" s="889">
        <v>9.5571433002802095</v>
      </c>
      <c r="AP15" s="889">
        <v>9.4</v>
      </c>
      <c r="AQ15" s="889">
        <v>9.4</v>
      </c>
      <c r="AR15" s="889">
        <v>8.8000000000000007</v>
      </c>
      <c r="AS15" s="889">
        <v>8.1999999999999993</v>
      </c>
      <c r="AT15" s="889">
        <v>7.8</v>
      </c>
    </row>
    <row r="16" spans="1:46" ht="12" customHeight="1" x14ac:dyDescent="0.35">
      <c r="A16" s="891" t="s">
        <v>762</v>
      </c>
      <c r="B16" s="889">
        <v>24.5</v>
      </c>
      <c r="C16" s="889">
        <v>25</v>
      </c>
      <c r="D16" s="889">
        <v>24.6</v>
      </c>
      <c r="E16" s="889">
        <v>25</v>
      </c>
      <c r="F16" s="889">
        <v>24.7</v>
      </c>
      <c r="G16" s="889">
        <v>24.7</v>
      </c>
      <c r="H16" s="889">
        <v>24.5</v>
      </c>
      <c r="I16" s="889">
        <v>23.4</v>
      </c>
      <c r="J16" s="889">
        <v>25.9</v>
      </c>
      <c r="K16" s="889">
        <v>26.1</v>
      </c>
      <c r="L16" s="889">
        <v>26.1</v>
      </c>
      <c r="M16" s="889">
        <v>25.8</v>
      </c>
      <c r="N16" s="889">
        <v>26.2</v>
      </c>
      <c r="O16" s="889">
        <v>25.8</v>
      </c>
      <c r="P16" s="889">
        <v>25.6</v>
      </c>
      <c r="Q16" s="889">
        <v>25.6</v>
      </c>
      <c r="R16" s="889">
        <v>26.2</v>
      </c>
      <c r="S16" s="889">
        <v>25.2</v>
      </c>
      <c r="T16" s="889">
        <v>26.1</v>
      </c>
      <c r="U16" s="889">
        <v>26.7</v>
      </c>
      <c r="V16" s="889">
        <v>32.4</v>
      </c>
      <c r="W16" s="889">
        <v>27.5</v>
      </c>
      <c r="X16" s="889">
        <v>21.4</v>
      </c>
      <c r="Y16" s="889">
        <v>21.4</v>
      </c>
      <c r="Z16" s="889">
        <v>20.100000000000001</v>
      </c>
      <c r="AA16" s="889">
        <v>18.3</v>
      </c>
      <c r="AB16" s="889">
        <v>27</v>
      </c>
      <c r="AC16" s="889">
        <v>27.6</v>
      </c>
      <c r="AD16" s="889">
        <v>27.7</v>
      </c>
      <c r="AE16" s="889">
        <v>28.4</v>
      </c>
      <c r="AF16" s="889">
        <v>28.8</v>
      </c>
      <c r="AG16" s="889">
        <v>24.9</v>
      </c>
      <c r="AH16" s="889">
        <v>24.8</v>
      </c>
      <c r="AI16" s="889">
        <v>25.1</v>
      </c>
      <c r="AJ16" s="889">
        <v>25.4</v>
      </c>
      <c r="AK16" s="889">
        <v>24.5</v>
      </c>
      <c r="AL16" s="889">
        <v>24.7</v>
      </c>
      <c r="AM16" s="889">
        <v>24.8</v>
      </c>
      <c r="AN16" s="889">
        <v>21.8</v>
      </c>
      <c r="AO16" s="889">
        <v>21.5</v>
      </c>
      <c r="AP16" s="889">
        <v>21.3</v>
      </c>
      <c r="AQ16" s="889">
        <v>21</v>
      </c>
      <c r="AR16" s="889">
        <v>21.2</v>
      </c>
      <c r="AS16" s="889">
        <v>21.2</v>
      </c>
      <c r="AT16" s="889">
        <v>21.9</v>
      </c>
    </row>
    <row r="17" spans="1:49" ht="12" customHeight="1" x14ac:dyDescent="0.35">
      <c r="A17" s="888" t="s">
        <v>763</v>
      </c>
      <c r="B17" s="890"/>
      <c r="C17" s="890"/>
      <c r="D17" s="890"/>
      <c r="E17" s="890"/>
      <c r="F17" s="890"/>
      <c r="G17" s="890"/>
      <c r="H17" s="890"/>
      <c r="I17" s="890"/>
      <c r="J17" s="890"/>
      <c r="K17" s="890"/>
      <c r="L17" s="890"/>
      <c r="M17" s="890"/>
      <c r="N17" s="890"/>
      <c r="O17" s="890"/>
      <c r="P17" s="890"/>
      <c r="Q17" s="890"/>
      <c r="R17" s="890"/>
      <c r="S17" s="890"/>
      <c r="T17" s="890"/>
      <c r="U17" s="890"/>
      <c r="V17" s="890"/>
      <c r="W17" s="890"/>
      <c r="X17" s="890"/>
      <c r="Y17" s="890"/>
      <c r="Z17" s="890"/>
      <c r="AA17" s="890"/>
      <c r="AB17" s="890"/>
      <c r="AC17" s="890"/>
      <c r="AD17" s="890"/>
      <c r="AE17" s="890"/>
      <c r="AF17" s="890"/>
      <c r="AG17" s="890"/>
      <c r="AH17" s="890"/>
      <c r="AI17" s="890"/>
      <c r="AJ17" s="890"/>
      <c r="AK17" s="890"/>
      <c r="AL17" s="890"/>
      <c r="AM17" s="890"/>
      <c r="AN17" s="890"/>
      <c r="AO17" s="890"/>
      <c r="AP17" s="890"/>
      <c r="AQ17" s="890"/>
      <c r="AR17" s="890"/>
      <c r="AS17" s="890"/>
      <c r="AT17" s="890"/>
      <c r="AW17" s="884" t="s">
        <v>1015</v>
      </c>
    </row>
    <row r="18" spans="1:49" ht="12" customHeight="1" x14ac:dyDescent="0.35">
      <c r="A18" s="893" t="s">
        <v>764</v>
      </c>
      <c r="B18" s="894"/>
      <c r="C18" s="894"/>
      <c r="D18" s="894"/>
      <c r="E18" s="894"/>
      <c r="F18" s="894"/>
      <c r="G18" s="894"/>
      <c r="H18" s="894"/>
      <c r="I18" s="894"/>
      <c r="J18" s="894"/>
      <c r="K18" s="894"/>
      <c r="L18" s="894"/>
      <c r="M18" s="894"/>
      <c r="N18" s="894"/>
      <c r="O18" s="894"/>
      <c r="P18" s="894"/>
      <c r="Q18" s="894"/>
      <c r="R18" s="894"/>
      <c r="S18" s="894"/>
      <c r="T18" s="894"/>
      <c r="U18" s="894"/>
      <c r="V18" s="894"/>
      <c r="W18" s="894"/>
      <c r="X18" s="894"/>
      <c r="Y18" s="894"/>
      <c r="Z18" s="894"/>
      <c r="AA18" s="894"/>
      <c r="AB18" s="894"/>
      <c r="AC18" s="894"/>
      <c r="AD18" s="894"/>
      <c r="AE18" s="894"/>
      <c r="AF18" s="894"/>
      <c r="AG18" s="894"/>
      <c r="AH18" s="894"/>
      <c r="AI18" s="894"/>
      <c r="AJ18" s="894"/>
      <c r="AK18" s="894"/>
      <c r="AL18" s="894"/>
      <c r="AM18" s="894"/>
      <c r="AN18" s="894"/>
      <c r="AO18" s="894"/>
      <c r="AP18" s="894"/>
      <c r="AQ18" s="894"/>
      <c r="AR18" s="894"/>
      <c r="AS18" s="894"/>
      <c r="AT18" s="894"/>
    </row>
    <row r="19" spans="1:49" ht="12" customHeight="1" x14ac:dyDescent="0.35">
      <c r="A19" s="895" t="s">
        <v>765</v>
      </c>
      <c r="B19" s="889">
        <v>4.7</v>
      </c>
      <c r="C19" s="889">
        <v>5</v>
      </c>
      <c r="D19" s="889">
        <v>4.7</v>
      </c>
      <c r="E19" s="889">
        <v>5</v>
      </c>
      <c r="F19" s="889">
        <v>5.0999999999999996</v>
      </c>
      <c r="G19" s="889">
        <v>5.0999999999999996</v>
      </c>
      <c r="H19" s="889">
        <v>5.0999999999999996</v>
      </c>
      <c r="I19" s="889">
        <v>4.9000000000000004</v>
      </c>
      <c r="J19" s="889">
        <v>5.0999999999999996</v>
      </c>
      <c r="K19" s="889">
        <v>5</v>
      </c>
      <c r="L19" s="889">
        <v>5</v>
      </c>
      <c r="M19" s="889">
        <v>4.9000000000000004</v>
      </c>
      <c r="N19" s="889">
        <v>4.9000000000000004</v>
      </c>
      <c r="O19" s="889">
        <v>4.9000000000000004</v>
      </c>
      <c r="P19" s="889">
        <v>4.9000000000000004</v>
      </c>
      <c r="Q19" s="889">
        <v>4.9000000000000004</v>
      </c>
      <c r="R19" s="889">
        <v>4.8</v>
      </c>
      <c r="S19" s="889">
        <v>4.8</v>
      </c>
      <c r="T19" s="889">
        <v>4.9000000000000004</v>
      </c>
      <c r="U19" s="889">
        <v>4.8</v>
      </c>
      <c r="V19" s="889">
        <v>5</v>
      </c>
      <c r="W19" s="889">
        <v>4.9000000000000004</v>
      </c>
      <c r="X19" s="889">
        <v>5.5</v>
      </c>
      <c r="Y19" s="889">
        <v>5.6</v>
      </c>
      <c r="Z19" s="889">
        <v>5.6</v>
      </c>
      <c r="AA19" s="889">
        <v>5.6</v>
      </c>
      <c r="AB19" s="889">
        <v>5.6</v>
      </c>
      <c r="AC19" s="889">
        <v>5.7</v>
      </c>
      <c r="AD19" s="889">
        <v>5.7</v>
      </c>
      <c r="AE19" s="889">
        <v>5.6</v>
      </c>
      <c r="AF19" s="889">
        <v>5.6</v>
      </c>
      <c r="AG19" s="889">
        <v>5.5</v>
      </c>
      <c r="AH19" s="889">
        <v>5.6</v>
      </c>
      <c r="AI19" s="889">
        <v>5.8</v>
      </c>
      <c r="AJ19" s="889">
        <v>5.7</v>
      </c>
      <c r="AK19" s="889">
        <v>5.7</v>
      </c>
      <c r="AL19" s="889">
        <v>5.6</v>
      </c>
      <c r="AM19" s="889">
        <v>5.4</v>
      </c>
      <c r="AN19" s="889">
        <v>5.5</v>
      </c>
      <c r="AO19" s="889">
        <v>5.5</v>
      </c>
      <c r="AP19" s="889">
        <v>5.4</v>
      </c>
      <c r="AQ19" s="889">
        <v>5.4</v>
      </c>
      <c r="AR19" s="889">
        <v>5.3</v>
      </c>
      <c r="AS19" s="889">
        <v>5.4</v>
      </c>
      <c r="AT19" s="889">
        <v>5.5</v>
      </c>
    </row>
    <row r="20" spans="1:49" ht="12" customHeight="1" x14ac:dyDescent="0.35">
      <c r="A20" s="895" t="s">
        <v>766</v>
      </c>
      <c r="B20" s="889">
        <v>6.8</v>
      </c>
      <c r="C20" s="889">
        <v>7.2</v>
      </c>
      <c r="D20" s="889">
        <v>6.1</v>
      </c>
      <c r="E20" s="889">
        <v>7.3</v>
      </c>
      <c r="F20" s="889">
        <v>7.2</v>
      </c>
      <c r="G20" s="889">
        <v>7</v>
      </c>
      <c r="H20" s="889">
        <v>6.2</v>
      </c>
      <c r="I20" s="889">
        <v>6</v>
      </c>
      <c r="J20" s="889">
        <v>6.4</v>
      </c>
      <c r="K20" s="889">
        <v>6.3</v>
      </c>
      <c r="L20" s="889">
        <v>6.2</v>
      </c>
      <c r="M20" s="889">
        <v>6</v>
      </c>
      <c r="N20" s="889">
        <v>5.9</v>
      </c>
      <c r="O20" s="889">
        <v>5.8</v>
      </c>
      <c r="P20" s="889">
        <v>5.8</v>
      </c>
      <c r="Q20" s="889">
        <v>5.6</v>
      </c>
      <c r="R20" s="889">
        <v>5.5</v>
      </c>
      <c r="S20" s="889">
        <v>5.4</v>
      </c>
      <c r="T20" s="889">
        <v>5.4</v>
      </c>
      <c r="U20" s="889">
        <v>2.5</v>
      </c>
      <c r="V20" s="889">
        <v>4.8</v>
      </c>
      <c r="W20" s="889">
        <v>6.5</v>
      </c>
      <c r="X20" s="889">
        <v>8.9</v>
      </c>
      <c r="Y20" s="889">
        <v>8.8000000000000007</v>
      </c>
      <c r="Z20" s="889">
        <v>8.9</v>
      </c>
      <c r="AA20" s="889">
        <v>8.8000000000000007</v>
      </c>
      <c r="AB20" s="889">
        <v>8.6999999999999993</v>
      </c>
      <c r="AC20" s="889">
        <v>8.5</v>
      </c>
      <c r="AD20" s="889">
        <v>8.5</v>
      </c>
      <c r="AE20" s="889">
        <v>8.3000000000000007</v>
      </c>
      <c r="AF20" s="889">
        <v>8.3000000000000007</v>
      </c>
      <c r="AG20" s="889">
        <v>6.9</v>
      </c>
      <c r="AH20" s="889">
        <v>6.9</v>
      </c>
      <c r="AI20" s="889">
        <v>8.6</v>
      </c>
      <c r="AJ20" s="889">
        <v>8.5</v>
      </c>
      <c r="AK20" s="889">
        <v>8.6</v>
      </c>
      <c r="AL20" s="889">
        <v>8.4</v>
      </c>
      <c r="AM20" s="889">
        <v>8.3000000000000007</v>
      </c>
      <c r="AN20" s="889">
        <v>8.6</v>
      </c>
      <c r="AO20" s="889">
        <v>8.6</v>
      </c>
      <c r="AP20" s="889">
        <v>8.5</v>
      </c>
      <c r="AQ20" s="889">
        <v>8.1999999999999993</v>
      </c>
      <c r="AR20" s="889">
        <v>8.1</v>
      </c>
      <c r="AS20" s="889">
        <v>8.1</v>
      </c>
      <c r="AT20" s="889">
        <v>7.9</v>
      </c>
    </row>
    <row r="21" spans="1:49" ht="12" customHeight="1" x14ac:dyDescent="0.35">
      <c r="A21" s="895" t="s">
        <v>767</v>
      </c>
      <c r="B21" s="889">
        <v>4</v>
      </c>
      <c r="C21" s="889">
        <v>4.4000000000000004</v>
      </c>
      <c r="D21" s="889">
        <v>4.2</v>
      </c>
      <c r="E21" s="889">
        <v>4.3</v>
      </c>
      <c r="F21" s="889">
        <v>4.5</v>
      </c>
      <c r="G21" s="889">
        <v>4.7</v>
      </c>
      <c r="H21" s="889">
        <v>4.9000000000000004</v>
      </c>
      <c r="I21" s="889">
        <v>4.5999999999999996</v>
      </c>
      <c r="J21" s="889">
        <v>4.8</v>
      </c>
      <c r="K21" s="889">
        <v>4.7</v>
      </c>
      <c r="L21" s="889">
        <v>4.8</v>
      </c>
      <c r="M21" s="889">
        <v>4.7</v>
      </c>
      <c r="N21" s="889">
        <v>4.7</v>
      </c>
      <c r="O21" s="889">
        <v>4.7</v>
      </c>
      <c r="P21" s="889">
        <v>4.7</v>
      </c>
      <c r="Q21" s="889">
        <v>4.8</v>
      </c>
      <c r="R21" s="889">
        <v>4.7</v>
      </c>
      <c r="S21" s="889">
        <v>4.7</v>
      </c>
      <c r="T21" s="889">
        <v>4.9000000000000004</v>
      </c>
      <c r="U21" s="889">
        <v>5.0999999999999996</v>
      </c>
      <c r="V21" s="889">
        <v>5.0999999999999996</v>
      </c>
      <c r="W21" s="889">
        <v>4.7</v>
      </c>
      <c r="X21" s="889">
        <v>4.8</v>
      </c>
      <c r="Y21" s="889">
        <v>4.9000000000000004</v>
      </c>
      <c r="Z21" s="889">
        <v>4.9000000000000004</v>
      </c>
      <c r="AA21" s="889">
        <v>4.9000000000000004</v>
      </c>
      <c r="AB21" s="889">
        <v>5</v>
      </c>
      <c r="AC21" s="889">
        <v>5.2</v>
      </c>
      <c r="AD21" s="889">
        <v>5.2</v>
      </c>
      <c r="AE21" s="889">
        <v>5.0999999999999996</v>
      </c>
      <c r="AF21" s="889">
        <v>5.0999999999999996</v>
      </c>
      <c r="AG21" s="889">
        <v>5.3</v>
      </c>
      <c r="AH21" s="889">
        <v>5.4</v>
      </c>
      <c r="AI21" s="889">
        <v>5.3</v>
      </c>
      <c r="AJ21" s="889">
        <v>5.2</v>
      </c>
      <c r="AK21" s="889">
        <v>5.0999999999999996</v>
      </c>
      <c r="AL21" s="889">
        <v>5.0999999999999996</v>
      </c>
      <c r="AM21" s="889">
        <v>4.9000000000000004</v>
      </c>
      <c r="AN21" s="889">
        <v>4.9000000000000004</v>
      </c>
      <c r="AO21" s="889">
        <v>4.9000000000000004</v>
      </c>
      <c r="AP21" s="889">
        <v>4.8</v>
      </c>
      <c r="AQ21" s="889">
        <v>5</v>
      </c>
      <c r="AR21" s="889">
        <v>4.9000000000000004</v>
      </c>
      <c r="AS21" s="889">
        <v>5</v>
      </c>
      <c r="AT21" s="889">
        <v>5.2</v>
      </c>
    </row>
    <row r="22" spans="1:49" ht="12" customHeight="1" x14ac:dyDescent="0.35">
      <c r="A22" s="893" t="s">
        <v>768</v>
      </c>
      <c r="B22" s="894"/>
      <c r="C22" s="894"/>
      <c r="D22" s="894"/>
      <c r="E22" s="894"/>
      <c r="F22" s="894"/>
      <c r="G22" s="894"/>
      <c r="H22" s="894"/>
      <c r="I22" s="894"/>
      <c r="J22" s="894"/>
      <c r="K22" s="894"/>
      <c r="L22" s="894"/>
      <c r="M22" s="894"/>
      <c r="N22" s="894"/>
      <c r="O22" s="894"/>
      <c r="P22" s="894"/>
      <c r="Q22" s="894"/>
      <c r="R22" s="894"/>
      <c r="S22" s="894"/>
      <c r="T22" s="894"/>
      <c r="U22" s="894"/>
      <c r="V22" s="894"/>
      <c r="W22" s="894"/>
      <c r="X22" s="894"/>
      <c r="Y22" s="894"/>
      <c r="Z22" s="894"/>
      <c r="AA22" s="894"/>
      <c r="AB22" s="894"/>
      <c r="AC22" s="894"/>
      <c r="AD22" s="894"/>
      <c r="AE22" s="894"/>
      <c r="AF22" s="894"/>
      <c r="AG22" s="894"/>
      <c r="AH22" s="894"/>
      <c r="AI22" s="894"/>
      <c r="AJ22" s="894"/>
      <c r="AK22" s="894"/>
      <c r="AL22" s="894"/>
      <c r="AM22" s="894"/>
      <c r="AN22" s="894"/>
      <c r="AO22" s="894"/>
      <c r="AP22" s="894"/>
      <c r="AQ22" s="894"/>
      <c r="AR22" s="894"/>
      <c r="AS22" s="894"/>
      <c r="AT22" s="894"/>
    </row>
    <row r="23" spans="1:49" ht="12" customHeight="1" x14ac:dyDescent="0.35">
      <c r="A23" s="895" t="s">
        <v>765</v>
      </c>
      <c r="B23" s="889">
        <v>23.9</v>
      </c>
      <c r="C23" s="889">
        <v>22.2</v>
      </c>
      <c r="D23" s="889">
        <v>23.5</v>
      </c>
      <c r="E23" s="889">
        <v>22.6</v>
      </c>
      <c r="F23" s="889">
        <v>22.4</v>
      </c>
      <c r="G23" s="889">
        <v>22.4</v>
      </c>
      <c r="H23" s="889">
        <v>22.9</v>
      </c>
      <c r="I23" s="889">
        <v>25.5</v>
      </c>
      <c r="J23" s="889">
        <v>22.7</v>
      </c>
      <c r="K23" s="889">
        <v>22</v>
      </c>
      <c r="L23" s="889">
        <v>20.8</v>
      </c>
      <c r="M23" s="889">
        <v>21.1</v>
      </c>
      <c r="N23" s="889">
        <v>20.9</v>
      </c>
      <c r="O23" s="889">
        <v>23.1</v>
      </c>
      <c r="P23" s="889">
        <v>21.1</v>
      </c>
      <c r="Q23" s="889">
        <v>22.2</v>
      </c>
      <c r="R23" s="889">
        <v>23.9</v>
      </c>
      <c r="S23" s="889">
        <v>22.3</v>
      </c>
      <c r="T23" s="889">
        <v>23.2</v>
      </c>
      <c r="U23" s="889">
        <v>27</v>
      </c>
      <c r="V23" s="889">
        <v>21.3</v>
      </c>
      <c r="W23" s="889">
        <v>24.7</v>
      </c>
      <c r="X23" s="889">
        <v>21.4</v>
      </c>
      <c r="Y23" s="889">
        <v>20.100000000000001</v>
      </c>
      <c r="Z23" s="889">
        <v>21</v>
      </c>
      <c r="AA23" s="889">
        <v>22.4</v>
      </c>
      <c r="AB23" s="889">
        <v>22.4</v>
      </c>
      <c r="AC23" s="889">
        <v>21.4</v>
      </c>
      <c r="AD23" s="889">
        <v>19.8</v>
      </c>
      <c r="AE23" s="889">
        <v>19.100000000000001</v>
      </c>
      <c r="AF23" s="889">
        <v>18</v>
      </c>
      <c r="AG23" s="889">
        <v>18.7</v>
      </c>
      <c r="AH23" s="889">
        <v>19.2</v>
      </c>
      <c r="AI23" s="889">
        <v>18.600000000000001</v>
      </c>
      <c r="AJ23" s="889">
        <v>19.7</v>
      </c>
      <c r="AK23" s="889">
        <v>20</v>
      </c>
      <c r="AL23" s="889">
        <v>21.7</v>
      </c>
      <c r="AM23" s="889">
        <v>25.9</v>
      </c>
      <c r="AN23" s="889">
        <v>26.5</v>
      </c>
      <c r="AO23" s="889">
        <v>26.8</v>
      </c>
      <c r="AP23" s="889">
        <v>27.5</v>
      </c>
      <c r="AQ23" s="889">
        <v>27.4</v>
      </c>
      <c r="AR23" s="889">
        <v>27.9</v>
      </c>
      <c r="AS23" s="889">
        <v>27</v>
      </c>
      <c r="AT23" s="889">
        <v>25.7</v>
      </c>
    </row>
    <row r="24" spans="1:49" ht="12" customHeight="1" x14ac:dyDescent="0.35">
      <c r="A24" s="895" t="s">
        <v>766</v>
      </c>
      <c r="B24" s="889">
        <v>7.2</v>
      </c>
      <c r="C24" s="889">
        <v>8</v>
      </c>
      <c r="D24" s="889">
        <v>8</v>
      </c>
      <c r="E24" s="889">
        <v>5.4</v>
      </c>
      <c r="F24" s="889">
        <v>5</v>
      </c>
      <c r="G24" s="889">
        <v>5.7</v>
      </c>
      <c r="H24" s="889">
        <v>12.3</v>
      </c>
      <c r="I24" s="889">
        <v>15.2</v>
      </c>
      <c r="J24" s="889">
        <v>6.5</v>
      </c>
      <c r="K24" s="889">
        <v>7.2</v>
      </c>
      <c r="L24" s="889">
        <v>7.3</v>
      </c>
      <c r="M24" s="889">
        <v>8.6</v>
      </c>
      <c r="N24" s="889">
        <v>8.5</v>
      </c>
      <c r="O24" s="889">
        <v>10.199999999999999</v>
      </c>
      <c r="P24" s="889">
        <v>9.1</v>
      </c>
      <c r="Q24" s="889">
        <v>11</v>
      </c>
      <c r="R24" s="889">
        <v>9.9</v>
      </c>
      <c r="S24" s="889">
        <v>11.7</v>
      </c>
      <c r="T24" s="889">
        <v>10.5</v>
      </c>
      <c r="U24" s="889">
        <v>56.7</v>
      </c>
      <c r="V24" s="889">
        <v>13.3</v>
      </c>
      <c r="W24" s="889">
        <v>11.5</v>
      </c>
      <c r="X24" s="889">
        <v>7.4</v>
      </c>
      <c r="Y24" s="889">
        <v>7.8</v>
      </c>
      <c r="Z24" s="889">
        <v>5.8</v>
      </c>
      <c r="AA24" s="889">
        <v>6.2</v>
      </c>
      <c r="AB24" s="889">
        <v>6.1</v>
      </c>
      <c r="AC24" s="889">
        <v>6.9</v>
      </c>
      <c r="AD24" s="889">
        <v>6.3</v>
      </c>
      <c r="AE24" s="889">
        <v>7</v>
      </c>
      <c r="AF24" s="889">
        <v>5.8</v>
      </c>
      <c r="AG24" s="889">
        <v>21.3</v>
      </c>
      <c r="AH24" s="889">
        <v>20.9</v>
      </c>
      <c r="AI24" s="889">
        <v>4.8</v>
      </c>
      <c r="AJ24" s="889">
        <v>4.5999999999999996</v>
      </c>
      <c r="AK24" s="889">
        <v>4.3</v>
      </c>
      <c r="AL24" s="889">
        <v>4.5</v>
      </c>
      <c r="AM24" s="889">
        <v>4.8</v>
      </c>
      <c r="AN24" s="889">
        <v>4.5999999999999996</v>
      </c>
      <c r="AO24" s="889">
        <v>4.8</v>
      </c>
      <c r="AP24" s="889">
        <v>4.5999999999999996</v>
      </c>
      <c r="AQ24" s="889">
        <v>5.3</v>
      </c>
      <c r="AR24" s="889">
        <v>5.2</v>
      </c>
      <c r="AS24" s="889">
        <v>5.2</v>
      </c>
      <c r="AT24" s="889">
        <v>5</v>
      </c>
    </row>
    <row r="25" spans="1:49" ht="12" customHeight="1" x14ac:dyDescent="0.35">
      <c r="A25" s="895" t="s">
        <v>767</v>
      </c>
      <c r="B25" s="889">
        <v>28.8</v>
      </c>
      <c r="C25" s="889">
        <v>26.4</v>
      </c>
      <c r="D25" s="889">
        <v>27.7</v>
      </c>
      <c r="E25" s="889">
        <v>27.5</v>
      </c>
      <c r="F25" s="889">
        <v>27.1</v>
      </c>
      <c r="G25" s="889">
        <v>26.7</v>
      </c>
      <c r="H25" s="889">
        <v>25.7</v>
      </c>
      <c r="I25" s="889">
        <v>28</v>
      </c>
      <c r="J25" s="889">
        <v>26.1</v>
      </c>
      <c r="K25" s="889">
        <v>25</v>
      </c>
      <c r="L25" s="889">
        <v>23.4</v>
      </c>
      <c r="M25" s="889">
        <v>23.4</v>
      </c>
      <c r="N25" s="889">
        <v>23.2</v>
      </c>
      <c r="O25" s="889">
        <v>25.3</v>
      </c>
      <c r="P25" s="889">
        <v>23</v>
      </c>
      <c r="Q25" s="889">
        <v>23.9</v>
      </c>
      <c r="R25" s="889">
        <v>25.9</v>
      </c>
      <c r="S25" s="889">
        <v>23.8</v>
      </c>
      <c r="T25" s="889">
        <v>24.9</v>
      </c>
      <c r="U25" s="889">
        <v>23.1</v>
      </c>
      <c r="V25" s="889">
        <v>22.2</v>
      </c>
      <c r="W25" s="889">
        <v>26.3</v>
      </c>
      <c r="X25" s="889">
        <v>24</v>
      </c>
      <c r="Y25" s="889">
        <v>22.6</v>
      </c>
      <c r="Z25" s="889">
        <v>24.3</v>
      </c>
      <c r="AA25" s="889">
        <v>25.7</v>
      </c>
      <c r="AB25" s="889">
        <v>25.6</v>
      </c>
      <c r="AC25" s="889">
        <v>24.3</v>
      </c>
      <c r="AD25" s="889">
        <v>22.3</v>
      </c>
      <c r="AE25" s="889">
        <v>21.2</v>
      </c>
      <c r="AF25" s="889">
        <v>19.899999999999999</v>
      </c>
      <c r="AG25" s="889">
        <v>18.100000000000001</v>
      </c>
      <c r="AH25" s="889">
        <v>18.899999999999999</v>
      </c>
      <c r="AI25" s="889">
        <v>21.3</v>
      </c>
      <c r="AJ25" s="889">
        <v>22.4</v>
      </c>
      <c r="AK25" s="889">
        <v>22.9</v>
      </c>
      <c r="AL25" s="889">
        <v>24.7</v>
      </c>
      <c r="AM25" s="889">
        <v>29.6</v>
      </c>
      <c r="AN25" s="889">
        <v>30.7</v>
      </c>
      <c r="AO25" s="889">
        <v>30.9</v>
      </c>
      <c r="AP25" s="889">
        <v>31.5</v>
      </c>
      <c r="AQ25" s="889">
        <v>31.3</v>
      </c>
      <c r="AR25" s="889">
        <v>31.6</v>
      </c>
      <c r="AS25" s="889">
        <v>30.7</v>
      </c>
      <c r="AT25" s="889">
        <v>29.1</v>
      </c>
    </row>
    <row r="26" spans="1:49" ht="12" customHeight="1" x14ac:dyDescent="0.35">
      <c r="A26" s="888" t="s">
        <v>769</v>
      </c>
      <c r="B26" s="890"/>
      <c r="C26" s="890"/>
      <c r="D26" s="890"/>
      <c r="E26" s="890"/>
      <c r="F26" s="890"/>
      <c r="G26" s="890"/>
      <c r="H26" s="890"/>
      <c r="I26" s="890"/>
      <c r="J26" s="890"/>
      <c r="K26" s="890"/>
      <c r="L26" s="890"/>
      <c r="M26" s="890"/>
      <c r="N26" s="890"/>
      <c r="O26" s="890"/>
      <c r="P26" s="890"/>
      <c r="Q26" s="890"/>
      <c r="R26" s="890"/>
      <c r="S26" s="890"/>
      <c r="T26" s="890"/>
      <c r="U26" s="890"/>
      <c r="V26" s="890"/>
      <c r="W26" s="890"/>
      <c r="X26" s="890"/>
      <c r="Y26" s="890"/>
      <c r="Z26" s="890"/>
      <c r="AA26" s="890"/>
      <c r="AB26" s="890"/>
      <c r="AC26" s="890"/>
      <c r="AD26" s="890"/>
      <c r="AE26" s="890"/>
      <c r="AF26" s="890"/>
      <c r="AG26" s="890"/>
      <c r="AH26" s="890"/>
      <c r="AI26" s="890"/>
      <c r="AJ26" s="890"/>
      <c r="AK26" s="890"/>
      <c r="AL26" s="890"/>
      <c r="AM26" s="890"/>
      <c r="AN26" s="890"/>
      <c r="AO26" s="890"/>
      <c r="AP26" s="890"/>
      <c r="AQ26" s="890"/>
      <c r="AR26" s="890"/>
      <c r="AS26" s="890"/>
      <c r="AT26" s="890"/>
    </row>
    <row r="27" spans="1:49" ht="12" customHeight="1" x14ac:dyDescent="0.35">
      <c r="A27" s="893" t="s">
        <v>770</v>
      </c>
      <c r="B27" s="894"/>
      <c r="C27" s="894"/>
      <c r="D27" s="894"/>
      <c r="E27" s="894"/>
      <c r="F27" s="894"/>
      <c r="G27" s="894"/>
      <c r="H27" s="894"/>
      <c r="I27" s="894"/>
      <c r="J27" s="894"/>
      <c r="K27" s="894"/>
      <c r="L27" s="894"/>
      <c r="M27" s="894"/>
      <c r="N27" s="894"/>
      <c r="O27" s="894"/>
      <c r="P27" s="894"/>
      <c r="Q27" s="894"/>
      <c r="R27" s="894"/>
      <c r="S27" s="894"/>
      <c r="T27" s="894"/>
      <c r="U27" s="894"/>
      <c r="V27" s="894"/>
      <c r="W27" s="894"/>
      <c r="X27" s="894"/>
      <c r="Y27" s="894"/>
      <c r="Z27" s="894"/>
      <c r="AA27" s="894"/>
      <c r="AB27" s="894"/>
      <c r="AC27" s="894"/>
      <c r="AD27" s="894"/>
      <c r="AE27" s="894"/>
      <c r="AF27" s="894"/>
      <c r="AG27" s="894"/>
      <c r="AH27" s="894"/>
      <c r="AI27" s="894"/>
      <c r="AJ27" s="894"/>
      <c r="AK27" s="894"/>
      <c r="AL27" s="894"/>
      <c r="AM27" s="894"/>
      <c r="AN27" s="894"/>
      <c r="AO27" s="894"/>
      <c r="AP27" s="894"/>
      <c r="AQ27" s="894"/>
      <c r="AR27" s="894"/>
      <c r="AS27" s="894"/>
      <c r="AT27" s="894"/>
    </row>
    <row r="28" spans="1:49" ht="12" customHeight="1" x14ac:dyDescent="0.35">
      <c r="A28" s="895" t="s">
        <v>765</v>
      </c>
      <c r="B28" s="889">
        <v>3.2</v>
      </c>
      <c r="C28" s="889">
        <v>3.6</v>
      </c>
      <c r="D28" s="889">
        <v>3.5</v>
      </c>
      <c r="E28" s="889">
        <v>3.6</v>
      </c>
      <c r="F28" s="889">
        <v>3.7</v>
      </c>
      <c r="G28" s="889">
        <v>3.8</v>
      </c>
      <c r="H28" s="889">
        <v>4</v>
      </c>
      <c r="I28" s="889">
        <v>3.9</v>
      </c>
      <c r="J28" s="889">
        <v>4.0999999999999996</v>
      </c>
      <c r="K28" s="889">
        <v>4</v>
      </c>
      <c r="L28" s="889">
        <v>4</v>
      </c>
      <c r="M28" s="889">
        <v>4</v>
      </c>
      <c r="N28" s="889">
        <v>4</v>
      </c>
      <c r="O28" s="889">
        <v>4</v>
      </c>
      <c r="P28" s="889">
        <v>4</v>
      </c>
      <c r="Q28" s="889">
        <v>4.0999999999999996</v>
      </c>
      <c r="R28" s="889">
        <v>4.0999999999999996</v>
      </c>
      <c r="S28" s="889">
        <v>4</v>
      </c>
      <c r="T28" s="889">
        <v>4.2</v>
      </c>
      <c r="U28" s="889">
        <v>4.4000000000000004</v>
      </c>
      <c r="V28" s="889">
        <v>4.5</v>
      </c>
      <c r="W28" s="889">
        <v>4.2</v>
      </c>
      <c r="X28" s="889">
        <v>4.7</v>
      </c>
      <c r="Y28" s="889">
        <v>4.8</v>
      </c>
      <c r="Z28" s="889">
        <v>5</v>
      </c>
      <c r="AA28" s="889">
        <v>4.9000000000000004</v>
      </c>
      <c r="AB28" s="889">
        <v>5</v>
      </c>
      <c r="AC28" s="889">
        <v>5.0999999999999996</v>
      </c>
      <c r="AD28" s="889">
        <v>5.0999999999999996</v>
      </c>
      <c r="AE28" s="889">
        <v>5.0999999999999996</v>
      </c>
      <c r="AF28" s="889">
        <v>5.0999999999999996</v>
      </c>
      <c r="AG28" s="889">
        <v>5.0999999999999996</v>
      </c>
      <c r="AH28" s="889">
        <v>5.2</v>
      </c>
      <c r="AI28" s="889">
        <v>5.0999999999999996</v>
      </c>
      <c r="AJ28" s="889">
        <v>5</v>
      </c>
      <c r="AK28" s="889">
        <v>4.9000000000000004</v>
      </c>
      <c r="AL28" s="889">
        <v>4.9000000000000004</v>
      </c>
      <c r="AM28" s="889">
        <v>4.8</v>
      </c>
      <c r="AN28" s="889">
        <v>4.7</v>
      </c>
      <c r="AO28" s="889">
        <v>4.7</v>
      </c>
      <c r="AP28" s="889">
        <v>4.5999999999999996</v>
      </c>
      <c r="AQ28" s="889">
        <v>4.7</v>
      </c>
      <c r="AR28" s="889">
        <v>4.5999999999999996</v>
      </c>
      <c r="AS28" s="889">
        <v>4.7</v>
      </c>
      <c r="AT28" s="889">
        <v>4.9000000000000004</v>
      </c>
    </row>
    <row r="29" spans="1:49" ht="12" customHeight="1" x14ac:dyDescent="0.35">
      <c r="A29" s="895" t="s">
        <v>766</v>
      </c>
      <c r="B29" s="889">
        <v>1.7</v>
      </c>
      <c r="C29" s="889">
        <v>2.2999999999999998</v>
      </c>
      <c r="D29" s="889">
        <v>2.2000000000000002</v>
      </c>
      <c r="E29" s="889">
        <v>2.4</v>
      </c>
      <c r="F29" s="889">
        <v>2.4</v>
      </c>
      <c r="G29" s="889">
        <v>2.2999999999999998</v>
      </c>
      <c r="H29" s="889">
        <v>2.4</v>
      </c>
      <c r="I29" s="889">
        <v>2.2999999999999998</v>
      </c>
      <c r="J29" s="889">
        <v>2.4</v>
      </c>
      <c r="K29" s="889">
        <v>2.4</v>
      </c>
      <c r="L29" s="889">
        <v>2.4</v>
      </c>
      <c r="M29" s="889">
        <v>2.5</v>
      </c>
      <c r="N29" s="889">
        <v>2.4</v>
      </c>
      <c r="O29" s="889">
        <v>2.4</v>
      </c>
      <c r="P29" s="889">
        <v>2.2999999999999998</v>
      </c>
      <c r="Q29" s="889">
        <v>2.2999999999999998</v>
      </c>
      <c r="R29" s="889">
        <v>2.2000000000000002</v>
      </c>
      <c r="S29" s="889">
        <v>2.1</v>
      </c>
      <c r="T29" s="889">
        <v>2.2000000000000002</v>
      </c>
      <c r="U29" s="889">
        <v>2.1</v>
      </c>
      <c r="V29" s="889">
        <v>2.5</v>
      </c>
      <c r="W29" s="889">
        <v>2.1</v>
      </c>
      <c r="X29" s="889">
        <v>5.7</v>
      </c>
      <c r="Y29" s="889">
        <v>5.7</v>
      </c>
      <c r="Z29" s="889">
        <v>6.4</v>
      </c>
      <c r="AA29" s="889">
        <v>6.3</v>
      </c>
      <c r="AB29" s="889">
        <v>6.2</v>
      </c>
      <c r="AC29" s="889">
        <v>6.1</v>
      </c>
      <c r="AD29" s="889">
        <v>6.1</v>
      </c>
      <c r="AE29" s="889">
        <v>6</v>
      </c>
      <c r="AF29" s="889">
        <v>6</v>
      </c>
      <c r="AG29" s="889">
        <v>5.0999999999999996</v>
      </c>
      <c r="AH29" s="889">
        <v>5.0999999999999996</v>
      </c>
      <c r="AI29" s="889">
        <v>5</v>
      </c>
      <c r="AJ29" s="889">
        <v>4.9000000000000004</v>
      </c>
      <c r="AK29" s="889">
        <v>4.7</v>
      </c>
      <c r="AL29" s="889">
        <v>4.5999999999999996</v>
      </c>
      <c r="AM29" s="889">
        <v>4.5</v>
      </c>
      <c r="AN29" s="889">
        <v>3.9</v>
      </c>
      <c r="AO29" s="889">
        <v>3.7</v>
      </c>
      <c r="AP29" s="889">
        <v>3.7</v>
      </c>
      <c r="AQ29" s="889">
        <v>3.6</v>
      </c>
      <c r="AR29" s="889">
        <v>3.6</v>
      </c>
      <c r="AS29" s="889">
        <v>3.4</v>
      </c>
      <c r="AT29" s="889">
        <v>3.4</v>
      </c>
    </row>
    <row r="30" spans="1:49" ht="12" customHeight="1" x14ac:dyDescent="0.35">
      <c r="A30" s="895" t="s">
        <v>771</v>
      </c>
      <c r="B30" s="889">
        <v>3.7</v>
      </c>
      <c r="C30" s="889">
        <v>4</v>
      </c>
      <c r="D30" s="889">
        <v>3.8</v>
      </c>
      <c r="E30" s="889">
        <v>4</v>
      </c>
      <c r="F30" s="889">
        <v>4</v>
      </c>
      <c r="G30" s="889">
        <v>4.2</v>
      </c>
      <c r="H30" s="889">
        <v>4.4000000000000004</v>
      </c>
      <c r="I30" s="889">
        <v>4.2</v>
      </c>
      <c r="J30" s="889">
        <v>4.4000000000000004</v>
      </c>
      <c r="K30" s="889">
        <v>4.3</v>
      </c>
      <c r="L30" s="889">
        <v>4.4000000000000004</v>
      </c>
      <c r="M30" s="889">
        <v>4.3</v>
      </c>
      <c r="N30" s="889">
        <v>4.3</v>
      </c>
      <c r="O30" s="889">
        <v>4.3</v>
      </c>
      <c r="P30" s="889">
        <v>4.3</v>
      </c>
      <c r="Q30" s="889">
        <v>4.4000000000000004</v>
      </c>
      <c r="R30" s="889">
        <v>4.3</v>
      </c>
      <c r="S30" s="889">
        <v>4.3</v>
      </c>
      <c r="T30" s="889">
        <v>4.5</v>
      </c>
      <c r="U30" s="889">
        <v>4.7</v>
      </c>
      <c r="V30" s="889">
        <v>4.7</v>
      </c>
      <c r="W30" s="889">
        <v>4.4000000000000004</v>
      </c>
      <c r="X30" s="889">
        <v>4.5</v>
      </c>
      <c r="Y30" s="889">
        <v>4.5999999999999996</v>
      </c>
      <c r="Z30" s="889">
        <v>4.5999999999999996</v>
      </c>
      <c r="AA30" s="889">
        <v>4.7</v>
      </c>
      <c r="AB30" s="889">
        <v>4.8</v>
      </c>
      <c r="AC30" s="889">
        <v>4.9000000000000004</v>
      </c>
      <c r="AD30" s="889">
        <v>5</v>
      </c>
      <c r="AE30" s="889">
        <v>5</v>
      </c>
      <c r="AF30" s="889">
        <v>5</v>
      </c>
      <c r="AG30" s="889">
        <v>5.0999999999999996</v>
      </c>
      <c r="AH30" s="889">
        <v>5.2</v>
      </c>
      <c r="AI30" s="889">
        <v>5.0999999999999996</v>
      </c>
      <c r="AJ30" s="889">
        <v>5</v>
      </c>
      <c r="AK30" s="889">
        <v>5</v>
      </c>
      <c r="AL30" s="889">
        <v>4.9000000000000004</v>
      </c>
      <c r="AM30" s="889">
        <v>4.8</v>
      </c>
      <c r="AN30" s="889">
        <v>4.8</v>
      </c>
      <c r="AO30" s="889">
        <v>4.8</v>
      </c>
      <c r="AP30" s="889">
        <v>4.8</v>
      </c>
      <c r="AQ30" s="889">
        <v>4.9000000000000004</v>
      </c>
      <c r="AR30" s="889">
        <v>4.8</v>
      </c>
      <c r="AS30" s="889">
        <v>4.9000000000000004</v>
      </c>
      <c r="AT30" s="889">
        <v>5.0999999999999996</v>
      </c>
    </row>
    <row r="31" spans="1:49" ht="12" customHeight="1" x14ac:dyDescent="0.35">
      <c r="A31" s="893" t="s">
        <v>772</v>
      </c>
      <c r="B31" s="894"/>
      <c r="C31" s="894"/>
      <c r="D31" s="894"/>
      <c r="E31" s="894"/>
      <c r="F31" s="894"/>
      <c r="G31" s="894"/>
      <c r="H31" s="894"/>
      <c r="I31" s="894"/>
      <c r="J31" s="894"/>
      <c r="K31" s="894"/>
      <c r="L31" s="894"/>
      <c r="M31" s="894"/>
      <c r="N31" s="894"/>
      <c r="O31" s="894"/>
      <c r="P31" s="894"/>
      <c r="Q31" s="894"/>
      <c r="R31" s="894"/>
      <c r="S31" s="894"/>
      <c r="T31" s="894"/>
      <c r="U31" s="894"/>
      <c r="V31" s="894"/>
      <c r="W31" s="894"/>
      <c r="X31" s="894"/>
      <c r="Y31" s="894"/>
      <c r="Z31" s="894"/>
      <c r="AA31" s="894"/>
      <c r="AB31" s="894"/>
      <c r="AC31" s="894"/>
      <c r="AD31" s="894"/>
      <c r="AE31" s="894"/>
      <c r="AF31" s="894"/>
      <c r="AG31" s="894"/>
      <c r="AH31" s="894"/>
      <c r="AI31" s="894"/>
      <c r="AJ31" s="894"/>
      <c r="AK31" s="894"/>
      <c r="AL31" s="894"/>
      <c r="AM31" s="894"/>
      <c r="AN31" s="894"/>
      <c r="AO31" s="894"/>
      <c r="AP31" s="894"/>
      <c r="AQ31" s="894"/>
      <c r="AR31" s="894"/>
      <c r="AS31" s="894"/>
      <c r="AT31" s="894"/>
    </row>
    <row r="32" spans="1:49" ht="12" customHeight="1" x14ac:dyDescent="0.35">
      <c r="A32" s="895" t="s">
        <v>765</v>
      </c>
      <c r="B32" s="889">
        <v>41.8</v>
      </c>
      <c r="C32" s="889">
        <v>38.6</v>
      </c>
      <c r="D32" s="889">
        <v>39.5</v>
      </c>
      <c r="E32" s="889">
        <v>38.700000000000003</v>
      </c>
      <c r="F32" s="889">
        <v>38.700000000000003</v>
      </c>
      <c r="G32" s="889">
        <v>38.1</v>
      </c>
      <c r="H32" s="889">
        <v>37</v>
      </c>
      <c r="I32" s="889">
        <v>38.299999999999997</v>
      </c>
      <c r="J32" s="889">
        <v>35.299999999999997</v>
      </c>
      <c r="K32" s="889">
        <v>34.4</v>
      </c>
      <c r="L32" s="889">
        <v>32.799999999999997</v>
      </c>
      <c r="M32" s="889">
        <v>32.5</v>
      </c>
      <c r="N32" s="889">
        <v>32</v>
      </c>
      <c r="O32" s="889">
        <v>34.1</v>
      </c>
      <c r="P32" s="889">
        <v>31.5</v>
      </c>
      <c r="Q32" s="889">
        <v>32.4</v>
      </c>
      <c r="R32" s="889">
        <v>33.700000000000003</v>
      </c>
      <c r="S32" s="889">
        <v>32.1</v>
      </c>
      <c r="T32" s="889">
        <v>32.799999999999997</v>
      </c>
      <c r="U32" s="889">
        <v>31.2</v>
      </c>
      <c r="V32" s="889">
        <v>28.6</v>
      </c>
      <c r="W32" s="889">
        <v>33.4</v>
      </c>
      <c r="X32" s="889">
        <v>30.4</v>
      </c>
      <c r="Y32" s="889">
        <v>29.4</v>
      </c>
      <c r="Z32" s="889">
        <v>29.5</v>
      </c>
      <c r="AA32" s="889">
        <v>30.4</v>
      </c>
      <c r="AB32" s="889">
        <v>30.2</v>
      </c>
      <c r="AC32" s="889">
        <v>29.3</v>
      </c>
      <c r="AD32" s="889">
        <v>27.4</v>
      </c>
      <c r="AE32" s="889">
        <v>26.3</v>
      </c>
      <c r="AF32" s="889">
        <v>24.7</v>
      </c>
      <c r="AG32" s="889">
        <v>25.3</v>
      </c>
      <c r="AH32" s="889">
        <v>25.9</v>
      </c>
      <c r="AI32" s="889">
        <v>27.7</v>
      </c>
      <c r="AJ32" s="889">
        <v>28.4</v>
      </c>
      <c r="AK32" s="889">
        <v>29.2</v>
      </c>
      <c r="AL32" s="889">
        <v>30.7</v>
      </c>
      <c r="AM32" s="889">
        <v>34.799999999999997</v>
      </c>
      <c r="AN32" s="889">
        <v>36.9</v>
      </c>
      <c r="AO32" s="889">
        <v>37</v>
      </c>
      <c r="AP32" s="889">
        <v>37.200000000000003</v>
      </c>
      <c r="AQ32" s="889">
        <v>37</v>
      </c>
      <c r="AR32" s="889">
        <v>37.1</v>
      </c>
      <c r="AS32" s="889">
        <v>36.299999999999997</v>
      </c>
      <c r="AT32" s="889">
        <v>34.799999999999997</v>
      </c>
    </row>
    <row r="33" spans="1:46" ht="12" customHeight="1" x14ac:dyDescent="0.35">
      <c r="A33" s="895" t="s">
        <v>766</v>
      </c>
      <c r="B33" s="889">
        <v>76.7</v>
      </c>
      <c r="C33" s="889">
        <v>68.8</v>
      </c>
      <c r="D33" s="889">
        <v>38.799999999999997</v>
      </c>
      <c r="E33" s="889">
        <v>67</v>
      </c>
      <c r="F33" s="889">
        <v>66.599999999999994</v>
      </c>
      <c r="G33" s="889">
        <v>66.900000000000006</v>
      </c>
      <c r="H33" s="889">
        <v>66.3</v>
      </c>
      <c r="I33" s="889">
        <v>66</v>
      </c>
      <c r="J33" s="889">
        <v>63.1</v>
      </c>
      <c r="K33" s="889">
        <v>62.8</v>
      </c>
      <c r="L33" s="889">
        <v>62.9</v>
      </c>
      <c r="M33" s="889">
        <v>61.4</v>
      </c>
      <c r="N33" s="889">
        <v>61.3</v>
      </c>
      <c r="O33" s="889">
        <v>61.3</v>
      </c>
      <c r="P33" s="889">
        <v>61.5</v>
      </c>
      <c r="Q33" s="889">
        <v>62.5</v>
      </c>
      <c r="R33" s="889">
        <v>62.3</v>
      </c>
      <c r="S33" s="889">
        <v>64.099999999999994</v>
      </c>
      <c r="T33" s="889">
        <v>63.7</v>
      </c>
      <c r="U33" s="889">
        <v>64.8</v>
      </c>
      <c r="V33" s="889">
        <v>55.6</v>
      </c>
      <c r="W33" s="889">
        <v>65.400000000000006</v>
      </c>
      <c r="X33" s="889">
        <v>46.6</v>
      </c>
      <c r="Y33" s="889">
        <v>46.9</v>
      </c>
      <c r="Z33" s="889">
        <v>38.4</v>
      </c>
      <c r="AA33" s="889">
        <v>38.6</v>
      </c>
      <c r="AB33" s="889">
        <v>38.700000000000003</v>
      </c>
      <c r="AC33" s="889">
        <v>39.200000000000003</v>
      </c>
      <c r="AD33" s="889">
        <v>39</v>
      </c>
      <c r="AE33" s="889">
        <v>39.200000000000003</v>
      </c>
      <c r="AF33" s="889">
        <v>38.299999999999997</v>
      </c>
      <c r="AG33" s="889">
        <v>47.8</v>
      </c>
      <c r="AH33" s="889">
        <v>47.6</v>
      </c>
      <c r="AI33" s="889">
        <v>48.1</v>
      </c>
      <c r="AJ33" s="889">
        <v>48.2</v>
      </c>
      <c r="AK33" s="889">
        <v>49.8</v>
      </c>
      <c r="AL33" s="889">
        <v>50.3</v>
      </c>
      <c r="AM33" s="889">
        <v>51</v>
      </c>
      <c r="AN33" s="889">
        <v>57.1</v>
      </c>
      <c r="AO33" s="889">
        <v>59.2</v>
      </c>
      <c r="AP33" s="889">
        <v>59.2</v>
      </c>
      <c r="AQ33" s="889">
        <v>59.3</v>
      </c>
      <c r="AR33" s="889">
        <v>59.5</v>
      </c>
      <c r="AS33" s="889">
        <v>60.9</v>
      </c>
      <c r="AT33" s="889">
        <v>61</v>
      </c>
    </row>
    <row r="34" spans="1:46" ht="12" customHeight="1" x14ac:dyDescent="0.35">
      <c r="A34" s="895" t="s">
        <v>767</v>
      </c>
      <c r="B34" s="889">
        <v>31.6</v>
      </c>
      <c r="C34" s="889">
        <v>29.7</v>
      </c>
      <c r="D34" s="889">
        <v>30.9</v>
      </c>
      <c r="E34" s="889">
        <v>30.7</v>
      </c>
      <c r="F34" s="889">
        <v>31</v>
      </c>
      <c r="G34" s="889">
        <v>30.6</v>
      </c>
      <c r="H34" s="889">
        <v>29.5</v>
      </c>
      <c r="I34" s="889">
        <v>31.6</v>
      </c>
      <c r="J34" s="889">
        <v>29.6</v>
      </c>
      <c r="K34" s="889">
        <v>28.7</v>
      </c>
      <c r="L34" s="889">
        <v>27.1</v>
      </c>
      <c r="M34" s="889">
        <v>27.1</v>
      </c>
      <c r="N34" s="889">
        <v>26.7</v>
      </c>
      <c r="O34" s="889">
        <v>29.3</v>
      </c>
      <c r="P34" s="889">
        <v>26.8</v>
      </c>
      <c r="Q34" s="889">
        <v>27.7</v>
      </c>
      <c r="R34" s="889">
        <v>29.5</v>
      </c>
      <c r="S34" s="889">
        <v>27.6</v>
      </c>
      <c r="T34" s="889">
        <v>28.6</v>
      </c>
      <c r="U34" s="889">
        <v>26.8</v>
      </c>
      <c r="V34" s="889">
        <v>25.8</v>
      </c>
      <c r="W34" s="889">
        <v>29.4</v>
      </c>
      <c r="X34" s="889">
        <v>27.3</v>
      </c>
      <c r="Y34" s="889">
        <v>26</v>
      </c>
      <c r="Z34" s="889">
        <v>27.6</v>
      </c>
      <c r="AA34" s="889">
        <v>28.7</v>
      </c>
      <c r="AB34" s="889">
        <v>28.5</v>
      </c>
      <c r="AC34" s="889">
        <v>27.3</v>
      </c>
      <c r="AD34" s="889">
        <v>25.3</v>
      </c>
      <c r="AE34" s="889">
        <v>24.1</v>
      </c>
      <c r="AF34" s="889">
        <v>22.7</v>
      </c>
      <c r="AG34" s="889">
        <v>20.9</v>
      </c>
      <c r="AH34" s="889">
        <v>21.6</v>
      </c>
      <c r="AI34" s="889">
        <v>23.9</v>
      </c>
      <c r="AJ34" s="889">
        <v>24.9</v>
      </c>
      <c r="AK34" s="889">
        <v>25.4</v>
      </c>
      <c r="AL34" s="889">
        <v>27.2</v>
      </c>
      <c r="AM34" s="889">
        <v>32</v>
      </c>
      <c r="AN34" s="889">
        <v>33</v>
      </c>
      <c r="AO34" s="889">
        <v>32.9</v>
      </c>
      <c r="AP34" s="889">
        <v>33.4</v>
      </c>
      <c r="AQ34" s="889">
        <v>32.200000000000003</v>
      </c>
      <c r="AR34" s="889">
        <v>33.4</v>
      </c>
      <c r="AS34" s="889">
        <v>32.299999999999997</v>
      </c>
      <c r="AT34" s="889">
        <v>30.6</v>
      </c>
    </row>
    <row r="35" spans="1:46" ht="12" customHeight="1" x14ac:dyDescent="0.35">
      <c r="A35" s="888" t="s">
        <v>773</v>
      </c>
      <c r="B35" s="890"/>
      <c r="C35" s="890"/>
      <c r="D35" s="890"/>
      <c r="E35" s="890"/>
      <c r="F35" s="890"/>
      <c r="G35" s="890"/>
      <c r="H35" s="890"/>
      <c r="I35" s="890"/>
      <c r="J35" s="890"/>
      <c r="K35" s="890"/>
      <c r="L35" s="890"/>
      <c r="M35" s="890"/>
      <c r="N35" s="890"/>
      <c r="O35" s="890"/>
      <c r="P35" s="890"/>
      <c r="Q35" s="890"/>
      <c r="R35" s="890"/>
      <c r="S35" s="890"/>
      <c r="T35" s="890"/>
      <c r="U35" s="890"/>
      <c r="V35" s="890"/>
      <c r="W35" s="890"/>
      <c r="X35" s="890"/>
      <c r="Y35" s="890"/>
      <c r="Z35" s="890"/>
      <c r="AA35" s="890"/>
      <c r="AB35" s="890"/>
      <c r="AC35" s="890"/>
      <c r="AD35" s="890"/>
      <c r="AE35" s="890"/>
      <c r="AF35" s="890"/>
      <c r="AG35" s="890"/>
      <c r="AH35" s="890"/>
      <c r="AI35" s="890"/>
      <c r="AJ35" s="890"/>
      <c r="AK35" s="890"/>
      <c r="AL35" s="890"/>
      <c r="AM35" s="890"/>
      <c r="AN35" s="890"/>
      <c r="AO35" s="890"/>
      <c r="AP35" s="890"/>
      <c r="AQ35" s="890"/>
      <c r="AR35" s="890"/>
      <c r="AS35" s="890"/>
      <c r="AT35" s="890"/>
    </row>
    <row r="36" spans="1:46" ht="12" customHeight="1" x14ac:dyDescent="0.35">
      <c r="A36" s="896" t="s">
        <v>774</v>
      </c>
      <c r="B36" s="897">
        <v>24.460907270217191</v>
      </c>
      <c r="C36" s="897">
        <v>25.082707316627367</v>
      </c>
      <c r="D36" s="897">
        <v>28.7</v>
      </c>
      <c r="E36" s="897">
        <v>29.466310629892455</v>
      </c>
      <c r="F36" s="897">
        <v>29.771953205982527</v>
      </c>
      <c r="G36" s="897">
        <v>31.9</v>
      </c>
      <c r="H36" s="897">
        <v>30.9</v>
      </c>
      <c r="I36" s="897">
        <v>30</v>
      </c>
      <c r="J36" s="897">
        <v>34.4</v>
      </c>
      <c r="K36" s="897">
        <v>35.799999999999997</v>
      </c>
      <c r="L36" s="897">
        <v>35.200000000000003</v>
      </c>
      <c r="M36" s="897">
        <v>37.200000000000003</v>
      </c>
      <c r="N36" s="897">
        <v>38</v>
      </c>
      <c r="O36" s="897">
        <v>37.700000000000003</v>
      </c>
      <c r="P36" s="897">
        <v>37</v>
      </c>
      <c r="Q36" s="897">
        <v>36.700000000000003</v>
      </c>
      <c r="R36" s="897">
        <v>36.486486486486484</v>
      </c>
      <c r="S36" s="897">
        <v>36.5</v>
      </c>
      <c r="T36" s="897">
        <v>36.200000000000003</v>
      </c>
      <c r="U36" s="897">
        <v>36.1</v>
      </c>
      <c r="V36" s="897">
        <v>43.4</v>
      </c>
      <c r="W36" s="897">
        <v>33.9</v>
      </c>
      <c r="X36" s="897">
        <v>50.788381883499959</v>
      </c>
      <c r="Y36" s="897">
        <v>50.868794726599575</v>
      </c>
      <c r="Z36" s="897">
        <v>59.5</v>
      </c>
      <c r="AA36" s="897">
        <v>58.47395899939395</v>
      </c>
      <c r="AB36" s="897">
        <v>52.2</v>
      </c>
      <c r="AC36" s="897">
        <v>51.992245651325689</v>
      </c>
      <c r="AD36" s="897">
        <v>51.860324079082375</v>
      </c>
      <c r="AE36" s="897">
        <v>51.589198615319219</v>
      </c>
      <c r="AF36" s="897">
        <v>50.94627979612882</v>
      </c>
      <c r="AG36" s="897">
        <v>44.9</v>
      </c>
      <c r="AH36" s="897">
        <v>45</v>
      </c>
      <c r="AI36" s="897">
        <v>44.4</v>
      </c>
      <c r="AJ36" s="897">
        <v>44.3</v>
      </c>
      <c r="AK36" s="897">
        <v>43.1</v>
      </c>
      <c r="AL36" s="897">
        <v>42.7</v>
      </c>
      <c r="AM36" s="897">
        <v>42</v>
      </c>
      <c r="AN36" s="897">
        <v>38.1</v>
      </c>
      <c r="AO36" s="897">
        <v>34.5</v>
      </c>
      <c r="AP36" s="897">
        <v>36.1</v>
      </c>
      <c r="AQ36" s="897">
        <v>36.6</v>
      </c>
      <c r="AR36" s="897">
        <v>36.299999999999997</v>
      </c>
      <c r="AS36" s="897">
        <v>35.200000000000003</v>
      </c>
      <c r="AT36" s="897">
        <v>35.5</v>
      </c>
    </row>
    <row r="37" spans="1:46" ht="12" customHeight="1" x14ac:dyDescent="0.35">
      <c r="A37" s="891" t="s">
        <v>775</v>
      </c>
      <c r="B37" s="889">
        <v>72.846059616169867</v>
      </c>
      <c r="C37" s="889">
        <v>72.160991391127922</v>
      </c>
      <c r="D37" s="889">
        <v>68.3</v>
      </c>
      <c r="E37" s="889">
        <v>67.557977906211136</v>
      </c>
      <c r="F37" s="889">
        <v>67.432992743965642</v>
      </c>
      <c r="G37" s="889">
        <v>65.3</v>
      </c>
      <c r="H37" s="889">
        <v>66.400000000000006</v>
      </c>
      <c r="I37" s="889">
        <v>67.900000000000006</v>
      </c>
      <c r="J37" s="889">
        <v>63.6</v>
      </c>
      <c r="K37" s="889">
        <v>62.1</v>
      </c>
      <c r="L37" s="889">
        <v>62.8</v>
      </c>
      <c r="M37" s="889">
        <v>60.8</v>
      </c>
      <c r="N37" s="889">
        <v>60</v>
      </c>
      <c r="O37" s="889">
        <v>60.3</v>
      </c>
      <c r="P37" s="889">
        <v>61.1</v>
      </c>
      <c r="Q37" s="889">
        <v>61.3</v>
      </c>
      <c r="R37" s="889">
        <v>61.618143879173296</v>
      </c>
      <c r="S37" s="889">
        <v>62.6</v>
      </c>
      <c r="T37" s="889">
        <v>62.9</v>
      </c>
      <c r="U37" s="889">
        <v>63</v>
      </c>
      <c r="V37" s="889">
        <v>55.6</v>
      </c>
      <c r="W37" s="889">
        <v>63.3</v>
      </c>
      <c r="X37" s="889">
        <v>47.132108243068579</v>
      </c>
      <c r="Y37" s="889">
        <v>47.03040886081137</v>
      </c>
      <c r="Z37" s="889">
        <v>39</v>
      </c>
      <c r="AA37" s="889">
        <v>39.946956091431247</v>
      </c>
      <c r="AB37" s="889">
        <v>46.3</v>
      </c>
      <c r="AC37" s="889">
        <v>46.508043578608536</v>
      </c>
      <c r="AD37" s="889">
        <v>46.605496166189695</v>
      </c>
      <c r="AE37" s="889">
        <v>46.866496929840743</v>
      </c>
      <c r="AF37" s="889">
        <v>47.5002040195562</v>
      </c>
      <c r="AG37" s="889">
        <v>53.8</v>
      </c>
      <c r="AH37" s="889">
        <v>53.8</v>
      </c>
      <c r="AI37" s="889">
        <v>54.4</v>
      </c>
      <c r="AJ37" s="889">
        <v>54.5</v>
      </c>
      <c r="AK37" s="889">
        <v>55.8</v>
      </c>
      <c r="AL37" s="889">
        <v>56.2</v>
      </c>
      <c r="AM37" s="889">
        <v>56.8</v>
      </c>
      <c r="AN37" s="889">
        <v>60.8</v>
      </c>
      <c r="AO37" s="889">
        <v>64.5</v>
      </c>
      <c r="AP37" s="889">
        <v>63</v>
      </c>
      <c r="AQ37" s="889">
        <v>62.5</v>
      </c>
      <c r="AR37" s="889">
        <v>62.8</v>
      </c>
      <c r="AS37" s="889">
        <v>63.9</v>
      </c>
      <c r="AT37" s="889">
        <v>63.7</v>
      </c>
    </row>
    <row r="38" spans="1:46" ht="12" customHeight="1" x14ac:dyDescent="0.35">
      <c r="A38" s="898" t="s">
        <v>776</v>
      </c>
      <c r="B38" s="899">
        <v>2.6930331136129424</v>
      </c>
      <c r="C38" s="899">
        <v>2.7563012922447041</v>
      </c>
      <c r="D38" s="899">
        <v>3</v>
      </c>
      <c r="E38" s="899">
        <v>2.9757114638964079</v>
      </c>
      <c r="F38" s="899">
        <v>2.7950540500518288</v>
      </c>
      <c r="G38" s="899">
        <v>2.8</v>
      </c>
      <c r="H38" s="899">
        <v>2.7</v>
      </c>
      <c r="I38" s="899">
        <v>2</v>
      </c>
      <c r="J38" s="899">
        <v>2.1</v>
      </c>
      <c r="K38" s="899">
        <v>2</v>
      </c>
      <c r="L38" s="899">
        <v>2.1</v>
      </c>
      <c r="M38" s="899">
        <v>2.1</v>
      </c>
      <c r="N38" s="899">
        <v>2</v>
      </c>
      <c r="O38" s="899">
        <v>2</v>
      </c>
      <c r="P38" s="899">
        <v>1.9</v>
      </c>
      <c r="Q38" s="899">
        <v>1.9</v>
      </c>
      <c r="R38" s="899">
        <v>1.8953696343402227</v>
      </c>
      <c r="S38" s="899">
        <v>0.9</v>
      </c>
      <c r="T38" s="899">
        <v>0.9</v>
      </c>
      <c r="U38" s="899">
        <v>0.9</v>
      </c>
      <c r="V38" s="899">
        <v>1</v>
      </c>
      <c r="W38" s="899">
        <v>2.8</v>
      </c>
      <c r="X38" s="899">
        <v>2.079509873431463</v>
      </c>
      <c r="Y38" s="899">
        <v>2.1007964125890557</v>
      </c>
      <c r="Z38" s="899">
        <v>1.5</v>
      </c>
      <c r="AA38" s="899">
        <v>1.5790849091748171</v>
      </c>
      <c r="AB38" s="899">
        <v>1.5</v>
      </c>
      <c r="AC38" s="899">
        <v>1.4997107700657728</v>
      </c>
      <c r="AD38" s="899">
        <v>1.534179754727929</v>
      </c>
      <c r="AE38" s="899">
        <v>1.5443044548400278</v>
      </c>
      <c r="AF38" s="899">
        <v>1.5535161843149765</v>
      </c>
      <c r="AG38" s="899">
        <v>1.3</v>
      </c>
      <c r="AH38" s="899">
        <v>1.2</v>
      </c>
      <c r="AI38" s="899">
        <v>1.2</v>
      </c>
      <c r="AJ38" s="899">
        <v>1.2</v>
      </c>
      <c r="AK38" s="899">
        <v>1.1000000000000001</v>
      </c>
      <c r="AL38" s="899">
        <v>1.1000000000000001</v>
      </c>
      <c r="AM38" s="899">
        <v>1.2</v>
      </c>
      <c r="AN38" s="899">
        <v>1.1000000000000001</v>
      </c>
      <c r="AO38" s="899">
        <v>1</v>
      </c>
      <c r="AP38" s="899">
        <v>0.9</v>
      </c>
      <c r="AQ38" s="899">
        <v>0.9</v>
      </c>
      <c r="AR38" s="899">
        <v>0.9</v>
      </c>
      <c r="AS38" s="899">
        <v>0.9</v>
      </c>
      <c r="AT38" s="899">
        <v>0.8</v>
      </c>
    </row>
    <row r="39" spans="1:46" ht="12" customHeight="1" x14ac:dyDescent="0.35">
      <c r="A39" s="886" t="s">
        <v>777</v>
      </c>
      <c r="B39" s="900"/>
      <c r="C39" s="900"/>
      <c r="D39" s="900"/>
      <c r="E39" s="900"/>
      <c r="F39" s="900"/>
      <c r="G39" s="900"/>
      <c r="H39" s="900"/>
      <c r="I39" s="900"/>
      <c r="J39" s="900"/>
      <c r="K39" s="900"/>
      <c r="L39" s="900"/>
      <c r="M39" s="900"/>
      <c r="N39" s="900"/>
      <c r="O39" s="900"/>
      <c r="P39" s="900"/>
      <c r="Q39" s="900"/>
      <c r="R39" s="900"/>
      <c r="S39" s="900"/>
      <c r="T39" s="900"/>
      <c r="U39" s="900"/>
      <c r="V39" s="900"/>
      <c r="W39" s="900"/>
      <c r="X39" s="900"/>
      <c r="Y39" s="900"/>
      <c r="Z39" s="900"/>
      <c r="AA39" s="900"/>
      <c r="AB39" s="900"/>
      <c r="AC39" s="900"/>
      <c r="AD39" s="900"/>
      <c r="AE39" s="900"/>
      <c r="AF39" s="900"/>
      <c r="AG39" s="900"/>
      <c r="AH39" s="900"/>
      <c r="AI39" s="900"/>
      <c r="AJ39" s="900"/>
      <c r="AK39" s="900"/>
      <c r="AL39" s="900"/>
      <c r="AM39" s="900"/>
      <c r="AN39" s="900"/>
      <c r="AO39" s="900"/>
      <c r="AP39" s="900"/>
      <c r="AQ39" s="900"/>
      <c r="AR39" s="900"/>
      <c r="AS39" s="900"/>
      <c r="AT39" s="900"/>
    </row>
    <row r="40" spans="1:46" ht="12" customHeight="1" x14ac:dyDescent="0.35">
      <c r="A40" s="888" t="s">
        <v>788</v>
      </c>
      <c r="B40" s="889">
        <v>57.4</v>
      </c>
      <c r="C40" s="889">
        <v>59.7</v>
      </c>
      <c r="D40" s="889">
        <v>60.2</v>
      </c>
      <c r="E40" s="889">
        <v>59.7</v>
      </c>
      <c r="F40" s="889">
        <v>59.3</v>
      </c>
      <c r="G40" s="889">
        <v>59.5</v>
      </c>
      <c r="H40" s="889">
        <v>59</v>
      </c>
      <c r="I40" s="889">
        <v>59.5</v>
      </c>
      <c r="J40" s="889">
        <v>59.4</v>
      </c>
      <c r="K40" s="889">
        <v>59.1</v>
      </c>
      <c r="L40" s="889">
        <v>60.6</v>
      </c>
      <c r="M40" s="889">
        <v>60</v>
      </c>
      <c r="N40" s="889">
        <v>60.3</v>
      </c>
      <c r="O40" s="889">
        <v>60.7</v>
      </c>
      <c r="P40" s="889">
        <v>61.3</v>
      </c>
      <c r="Q40" s="889">
        <v>62.1</v>
      </c>
      <c r="R40" s="889">
        <v>62.8</v>
      </c>
      <c r="S40" s="889">
        <v>63</v>
      </c>
      <c r="T40" s="889">
        <v>63.7</v>
      </c>
      <c r="U40" s="889">
        <v>63.9</v>
      </c>
      <c r="V40" s="889">
        <v>64.599999999999994</v>
      </c>
      <c r="W40" s="889">
        <v>81</v>
      </c>
      <c r="X40" s="889">
        <v>80.8</v>
      </c>
      <c r="Y40" s="889">
        <v>81.099999999999994</v>
      </c>
      <c r="Z40" s="889">
        <v>88.7</v>
      </c>
      <c r="AA40" s="889">
        <v>93.5</v>
      </c>
      <c r="AB40" s="889">
        <v>94.4</v>
      </c>
      <c r="AC40" s="889">
        <v>89.4</v>
      </c>
      <c r="AD40" s="889">
        <v>89.2</v>
      </c>
      <c r="AE40" s="889">
        <v>88.4</v>
      </c>
      <c r="AF40" s="889">
        <v>86.9</v>
      </c>
      <c r="AG40" s="889">
        <v>85.7</v>
      </c>
      <c r="AH40" s="889">
        <v>85</v>
      </c>
      <c r="AI40" s="889">
        <v>84.8</v>
      </c>
      <c r="AJ40" s="889">
        <v>83</v>
      </c>
      <c r="AK40" s="889">
        <v>82.7</v>
      </c>
      <c r="AL40" s="889">
        <v>82.9</v>
      </c>
      <c r="AM40" s="889">
        <v>84.1</v>
      </c>
      <c r="AN40" s="889">
        <v>86.3</v>
      </c>
      <c r="AO40" s="889">
        <v>87.7</v>
      </c>
      <c r="AP40" s="889">
        <v>89.1</v>
      </c>
      <c r="AQ40" s="889">
        <v>88.5</v>
      </c>
      <c r="AR40" s="889">
        <v>89.8</v>
      </c>
      <c r="AS40" s="889">
        <v>89</v>
      </c>
      <c r="AT40" s="889">
        <v>89.5</v>
      </c>
    </row>
    <row r="41" spans="1:46" ht="12" customHeight="1" x14ac:dyDescent="0.35">
      <c r="A41" s="888" t="s">
        <v>755</v>
      </c>
      <c r="B41" s="890"/>
      <c r="C41" s="890"/>
      <c r="D41" s="890"/>
      <c r="E41" s="890"/>
      <c r="F41" s="890"/>
      <c r="G41" s="890"/>
      <c r="H41" s="890"/>
      <c r="I41" s="890"/>
      <c r="J41" s="890"/>
      <c r="K41" s="890"/>
      <c r="L41" s="890"/>
      <c r="M41" s="890"/>
      <c r="N41" s="890"/>
      <c r="O41" s="890"/>
      <c r="P41" s="890"/>
      <c r="Q41" s="890"/>
      <c r="R41" s="890"/>
      <c r="S41" s="890"/>
      <c r="T41" s="890"/>
      <c r="U41" s="890"/>
      <c r="V41" s="890"/>
      <c r="W41" s="890"/>
      <c r="X41" s="890"/>
      <c r="Y41" s="890"/>
      <c r="Z41" s="890"/>
      <c r="AA41" s="890"/>
      <c r="AB41" s="890"/>
      <c r="AC41" s="890"/>
      <c r="AD41" s="890"/>
      <c r="AE41" s="890"/>
      <c r="AF41" s="890"/>
      <c r="AG41" s="890"/>
      <c r="AH41" s="890"/>
      <c r="AI41" s="890"/>
      <c r="AJ41" s="890"/>
      <c r="AK41" s="890"/>
      <c r="AL41" s="890"/>
      <c r="AM41" s="890"/>
      <c r="AN41" s="890"/>
      <c r="AO41" s="890"/>
      <c r="AP41" s="890"/>
      <c r="AQ41" s="890"/>
      <c r="AR41" s="890"/>
      <c r="AS41" s="890"/>
      <c r="AT41" s="890"/>
    </row>
    <row r="42" spans="1:46" ht="12" customHeight="1" x14ac:dyDescent="0.35">
      <c r="A42" s="891" t="s">
        <v>756</v>
      </c>
      <c r="B42" s="889">
        <v>27</v>
      </c>
      <c r="C42" s="889">
        <v>27.2</v>
      </c>
      <c r="D42" s="889">
        <v>26.5</v>
      </c>
      <c r="E42" s="889">
        <v>26.5</v>
      </c>
      <c r="F42" s="889">
        <v>25.9</v>
      </c>
      <c r="G42" s="889">
        <v>25.2</v>
      </c>
      <c r="H42" s="889">
        <v>25</v>
      </c>
      <c r="I42" s="889">
        <v>23.8</v>
      </c>
      <c r="J42" s="889">
        <v>21.3</v>
      </c>
      <c r="K42" s="889">
        <v>21.4</v>
      </c>
      <c r="L42" s="889">
        <v>20</v>
      </c>
      <c r="M42" s="889">
        <v>19.899999999999999</v>
      </c>
      <c r="N42" s="889">
        <v>19.3</v>
      </c>
      <c r="O42" s="889">
        <v>19.2</v>
      </c>
      <c r="P42" s="889">
        <v>18</v>
      </c>
      <c r="Q42" s="889">
        <v>17.2</v>
      </c>
      <c r="R42" s="889">
        <v>16.399999999999999</v>
      </c>
      <c r="S42" s="889">
        <v>16.3</v>
      </c>
      <c r="T42" s="889">
        <v>15.6</v>
      </c>
      <c r="U42" s="889">
        <v>16.899999999999999</v>
      </c>
      <c r="V42" s="889">
        <v>15.9</v>
      </c>
      <c r="W42" s="889">
        <v>16.7</v>
      </c>
      <c r="X42" s="889">
        <v>21.5</v>
      </c>
      <c r="Y42" s="889">
        <v>22.3</v>
      </c>
      <c r="Z42" s="889">
        <v>23.6</v>
      </c>
      <c r="AA42" s="889">
        <v>22.6</v>
      </c>
      <c r="AB42" s="889">
        <v>23.3</v>
      </c>
      <c r="AC42" s="889">
        <v>23.9</v>
      </c>
      <c r="AD42" s="889">
        <v>23.1</v>
      </c>
      <c r="AE42" s="889">
        <v>21.9</v>
      </c>
      <c r="AF42" s="889">
        <v>20.3</v>
      </c>
      <c r="AG42" s="889">
        <v>22.8</v>
      </c>
      <c r="AH42" s="889">
        <v>23.4</v>
      </c>
      <c r="AI42" s="889">
        <v>22.5</v>
      </c>
      <c r="AJ42" s="889">
        <v>21.2</v>
      </c>
      <c r="AK42" s="889">
        <v>21.5</v>
      </c>
      <c r="AL42" s="889">
        <v>21.5</v>
      </c>
      <c r="AM42" s="889">
        <v>20.8</v>
      </c>
      <c r="AN42" s="889">
        <v>21.5</v>
      </c>
      <c r="AO42" s="889">
        <v>20.8</v>
      </c>
      <c r="AP42" s="889">
        <v>19.5</v>
      </c>
      <c r="AQ42" s="889">
        <v>19.600000000000001</v>
      </c>
      <c r="AR42" s="889">
        <v>19</v>
      </c>
      <c r="AS42" s="889">
        <v>19.2</v>
      </c>
      <c r="AT42" s="889">
        <v>18.8</v>
      </c>
    </row>
    <row r="43" spans="1:46" ht="12" customHeight="1" x14ac:dyDescent="0.35">
      <c r="A43" s="891" t="s">
        <v>757</v>
      </c>
      <c r="B43" s="889">
        <v>73</v>
      </c>
      <c r="C43" s="889">
        <v>72.8</v>
      </c>
      <c r="D43" s="889">
        <v>73.5</v>
      </c>
      <c r="E43" s="889">
        <v>73.5</v>
      </c>
      <c r="F43" s="889">
        <v>74.099999999999994</v>
      </c>
      <c r="G43" s="889">
        <v>74.8</v>
      </c>
      <c r="H43" s="889">
        <v>75</v>
      </c>
      <c r="I43" s="889">
        <v>76.2</v>
      </c>
      <c r="J43" s="889">
        <v>78.7</v>
      </c>
      <c r="K43" s="889">
        <v>78.599999999999994</v>
      </c>
      <c r="L43" s="889">
        <v>80</v>
      </c>
      <c r="M43" s="889">
        <v>80.099999999999994</v>
      </c>
      <c r="N43" s="889">
        <v>80.7</v>
      </c>
      <c r="O43" s="889">
        <v>80.8</v>
      </c>
      <c r="P43" s="889">
        <v>82</v>
      </c>
      <c r="Q43" s="889">
        <v>82.8</v>
      </c>
      <c r="R43" s="889">
        <v>83.6</v>
      </c>
      <c r="S43" s="889">
        <v>83.7</v>
      </c>
      <c r="T43" s="889">
        <v>84.4</v>
      </c>
      <c r="U43" s="889">
        <v>83.1</v>
      </c>
      <c r="V43" s="889">
        <v>84.1</v>
      </c>
      <c r="W43" s="889">
        <v>83.3</v>
      </c>
      <c r="X43" s="889">
        <v>78.5</v>
      </c>
      <c r="Y43" s="889">
        <v>77.7</v>
      </c>
      <c r="Z43" s="889">
        <v>76.400000000000006</v>
      </c>
      <c r="AA43" s="889">
        <v>77.400000000000006</v>
      </c>
      <c r="AB43" s="889">
        <v>76.7</v>
      </c>
      <c r="AC43" s="889">
        <v>76.099999999999994</v>
      </c>
      <c r="AD43" s="889">
        <v>76.900000000000006</v>
      </c>
      <c r="AE43" s="889">
        <v>78.099999999999994</v>
      </c>
      <c r="AF43" s="889">
        <v>79.7</v>
      </c>
      <c r="AG43" s="889">
        <v>77.2</v>
      </c>
      <c r="AH43" s="889">
        <v>76.599999999999994</v>
      </c>
      <c r="AI43" s="889">
        <v>77.5</v>
      </c>
      <c r="AJ43" s="889">
        <v>78.8</v>
      </c>
      <c r="AK43" s="889">
        <v>78.5</v>
      </c>
      <c r="AL43" s="889">
        <v>78.5</v>
      </c>
      <c r="AM43" s="889">
        <v>79.2</v>
      </c>
      <c r="AN43" s="889">
        <v>78.5</v>
      </c>
      <c r="AO43" s="889">
        <v>79.2</v>
      </c>
      <c r="AP43" s="889">
        <v>80.5</v>
      </c>
      <c r="AQ43" s="889">
        <v>80.400000000000006</v>
      </c>
      <c r="AR43" s="889">
        <v>81</v>
      </c>
      <c r="AS43" s="889">
        <v>80.8</v>
      </c>
      <c r="AT43" s="889">
        <v>81.2</v>
      </c>
    </row>
    <row r="44" spans="1:46" ht="12" customHeight="1" x14ac:dyDescent="0.35">
      <c r="A44" s="888" t="s">
        <v>758</v>
      </c>
      <c r="B44" s="890"/>
      <c r="C44" s="890"/>
      <c r="D44" s="890"/>
      <c r="E44" s="890"/>
      <c r="F44" s="890"/>
      <c r="G44" s="890"/>
      <c r="H44" s="890"/>
      <c r="I44" s="890"/>
      <c r="J44" s="890"/>
      <c r="K44" s="890"/>
      <c r="L44" s="890"/>
      <c r="M44" s="890"/>
      <c r="N44" s="890"/>
      <c r="O44" s="890"/>
      <c r="P44" s="890"/>
      <c r="Q44" s="890"/>
      <c r="R44" s="890"/>
      <c r="S44" s="890"/>
      <c r="T44" s="890"/>
      <c r="U44" s="890"/>
      <c r="V44" s="890"/>
      <c r="W44" s="890"/>
      <c r="X44" s="890"/>
      <c r="Y44" s="890"/>
      <c r="Z44" s="890"/>
      <c r="AA44" s="890"/>
      <c r="AB44" s="890"/>
      <c r="AC44" s="890"/>
      <c r="AD44" s="890"/>
      <c r="AE44" s="890"/>
      <c r="AF44" s="890"/>
      <c r="AG44" s="890"/>
      <c r="AH44" s="890"/>
      <c r="AI44" s="890"/>
      <c r="AJ44" s="890"/>
      <c r="AK44" s="890"/>
      <c r="AL44" s="890"/>
      <c r="AM44" s="890"/>
      <c r="AN44" s="890"/>
      <c r="AO44" s="890"/>
      <c r="AP44" s="890"/>
      <c r="AQ44" s="890"/>
      <c r="AR44" s="890"/>
      <c r="AS44" s="890"/>
      <c r="AT44" s="890"/>
    </row>
    <row r="45" spans="1:46" ht="12" customHeight="1" x14ac:dyDescent="0.35">
      <c r="A45" s="891" t="s">
        <v>759</v>
      </c>
      <c r="B45" s="889">
        <v>47.4</v>
      </c>
      <c r="C45" s="889">
        <v>49.7</v>
      </c>
      <c r="D45" s="889">
        <v>50</v>
      </c>
      <c r="E45" s="889">
        <v>50.4</v>
      </c>
      <c r="F45" s="889">
        <v>49.9</v>
      </c>
      <c r="G45" s="889">
        <v>50.4</v>
      </c>
      <c r="H45" s="889">
        <v>50.3</v>
      </c>
      <c r="I45" s="889">
        <v>50</v>
      </c>
      <c r="J45" s="889">
        <v>45.9</v>
      </c>
      <c r="K45" s="889">
        <v>45.6</v>
      </c>
      <c r="L45" s="889">
        <v>44.9</v>
      </c>
      <c r="M45" s="889">
        <v>44.6</v>
      </c>
      <c r="N45" s="889">
        <v>42.8</v>
      </c>
      <c r="O45" s="889">
        <v>44.8</v>
      </c>
      <c r="P45" s="889">
        <v>45.6</v>
      </c>
      <c r="Q45" s="889">
        <v>46.1</v>
      </c>
      <c r="R45" s="889">
        <v>46.1</v>
      </c>
      <c r="S45" s="889">
        <v>46.7</v>
      </c>
      <c r="T45" s="889">
        <v>46.9</v>
      </c>
      <c r="U45" s="889">
        <v>50.4</v>
      </c>
      <c r="V45" s="889">
        <v>46.1</v>
      </c>
      <c r="W45" s="889">
        <v>40.299999999999997</v>
      </c>
      <c r="X45" s="889">
        <v>33.200000000000003</v>
      </c>
      <c r="Y45" s="889">
        <v>33.200000000000003</v>
      </c>
      <c r="Z45" s="889">
        <v>29.9</v>
      </c>
      <c r="AA45" s="889">
        <v>31</v>
      </c>
      <c r="AB45" s="889">
        <v>29.1</v>
      </c>
      <c r="AC45" s="889">
        <v>30.2</v>
      </c>
      <c r="AD45" s="889">
        <v>30.9</v>
      </c>
      <c r="AE45" s="889">
        <v>33.4</v>
      </c>
      <c r="AF45" s="889">
        <v>34.9</v>
      </c>
      <c r="AG45" s="889">
        <v>40.9</v>
      </c>
      <c r="AH45" s="889">
        <v>40.700000000000003</v>
      </c>
      <c r="AI45" s="889">
        <v>41.5</v>
      </c>
      <c r="AJ45" s="889">
        <v>41.6</v>
      </c>
      <c r="AK45" s="889">
        <v>39.799999999999997</v>
      </c>
      <c r="AL45" s="889">
        <v>40.299999999999997</v>
      </c>
      <c r="AM45" s="889">
        <v>40.700000000000003</v>
      </c>
      <c r="AN45" s="889">
        <v>44.5</v>
      </c>
      <c r="AO45" s="889">
        <v>45.3</v>
      </c>
      <c r="AP45" s="889">
        <v>44.5</v>
      </c>
      <c r="AQ45" s="889">
        <v>43.1</v>
      </c>
      <c r="AR45" s="889">
        <v>43.4</v>
      </c>
      <c r="AS45" s="889">
        <v>42.7</v>
      </c>
      <c r="AT45" s="889">
        <v>43.3</v>
      </c>
    </row>
    <row r="46" spans="1:46" ht="12" customHeight="1" x14ac:dyDescent="0.35">
      <c r="A46" s="891" t="s">
        <v>760</v>
      </c>
      <c r="B46" s="889">
        <v>31.518725099601593</v>
      </c>
      <c r="C46" s="889">
        <v>29</v>
      </c>
      <c r="D46" s="889">
        <v>29</v>
      </c>
      <c r="E46" s="889">
        <v>28.4</v>
      </c>
      <c r="F46" s="889">
        <v>28.9</v>
      </c>
      <c r="G46" s="889">
        <v>28.5</v>
      </c>
      <c r="H46" s="889">
        <v>28.8</v>
      </c>
      <c r="I46" s="889">
        <v>30.2</v>
      </c>
      <c r="J46" s="889">
        <v>32.4</v>
      </c>
      <c r="K46" s="889">
        <v>32.9</v>
      </c>
      <c r="L46" s="889">
        <v>33.6</v>
      </c>
      <c r="M46" s="889">
        <v>34.1</v>
      </c>
      <c r="N46" s="889">
        <v>35.6</v>
      </c>
      <c r="O46" s="889">
        <v>34.299999999999997</v>
      </c>
      <c r="P46" s="889">
        <v>34.1</v>
      </c>
      <c r="Q46" s="889">
        <v>33.5</v>
      </c>
      <c r="R46" s="889">
        <v>33.1</v>
      </c>
      <c r="S46" s="889">
        <v>33.299999999999997</v>
      </c>
      <c r="T46" s="889">
        <v>32.5</v>
      </c>
      <c r="U46" s="889">
        <v>30.1</v>
      </c>
      <c r="V46" s="889">
        <v>32.1</v>
      </c>
      <c r="W46" s="889">
        <v>40.1</v>
      </c>
      <c r="X46" s="889">
        <v>50.3</v>
      </c>
      <c r="Y46" s="889">
        <v>50.4</v>
      </c>
      <c r="Z46" s="889">
        <v>42.8</v>
      </c>
      <c r="AA46" s="889">
        <v>43.1</v>
      </c>
      <c r="AB46" s="889">
        <v>39</v>
      </c>
      <c r="AC46" s="889">
        <v>37.799999999999997</v>
      </c>
      <c r="AD46" s="889">
        <v>37.6</v>
      </c>
      <c r="AE46" s="889">
        <v>35.9</v>
      </c>
      <c r="AF46" s="889">
        <v>34.9</v>
      </c>
      <c r="AG46" s="889">
        <v>31.5</v>
      </c>
      <c r="AH46" s="889">
        <v>31.8</v>
      </c>
      <c r="AI46" s="889">
        <v>31.6</v>
      </c>
      <c r="AJ46" s="889">
        <v>31.4</v>
      </c>
      <c r="AK46" s="889">
        <v>33.6</v>
      </c>
      <c r="AL46" s="889">
        <v>33.299999999999997</v>
      </c>
      <c r="AM46" s="889">
        <v>33.299999999999997</v>
      </c>
      <c r="AN46" s="889">
        <v>30.8</v>
      </c>
      <c r="AO46" s="889">
        <v>30.8</v>
      </c>
      <c r="AP46" s="889">
        <v>31.6</v>
      </c>
      <c r="AQ46" s="889">
        <v>33.1</v>
      </c>
      <c r="AR46" s="889">
        <v>33.299999999999997</v>
      </c>
      <c r="AS46" s="889">
        <v>34.200000000000003</v>
      </c>
      <c r="AT46" s="889">
        <v>33.5</v>
      </c>
    </row>
    <row r="47" spans="1:46" ht="12" customHeight="1" x14ac:dyDescent="0.35">
      <c r="A47" s="891" t="s">
        <v>761</v>
      </c>
      <c r="B47" s="889">
        <v>1.1000000000000001</v>
      </c>
      <c r="C47" s="889">
        <v>1.1000000000000001</v>
      </c>
      <c r="D47" s="889">
        <v>1</v>
      </c>
      <c r="E47" s="889">
        <v>1</v>
      </c>
      <c r="F47" s="889">
        <v>1</v>
      </c>
      <c r="G47" s="889">
        <v>1.2</v>
      </c>
      <c r="H47" s="889">
        <v>1.1000000000000001</v>
      </c>
      <c r="I47" s="889">
        <v>1</v>
      </c>
      <c r="J47" s="889">
        <v>1</v>
      </c>
      <c r="K47" s="889">
        <v>1</v>
      </c>
      <c r="L47" s="889">
        <v>0.9</v>
      </c>
      <c r="M47" s="889">
        <v>0.9</v>
      </c>
      <c r="N47" s="889">
        <v>0.9</v>
      </c>
      <c r="O47" s="889">
        <v>0.9</v>
      </c>
      <c r="P47" s="889">
        <v>0.8</v>
      </c>
      <c r="Q47" s="889">
        <v>0.8</v>
      </c>
      <c r="R47" s="889">
        <v>0.8</v>
      </c>
      <c r="S47" s="889">
        <v>0.8</v>
      </c>
      <c r="T47" s="889">
        <v>0.7</v>
      </c>
      <c r="U47" s="889">
        <v>0.7</v>
      </c>
      <c r="V47" s="889">
        <v>1.2</v>
      </c>
      <c r="W47" s="889">
        <v>1</v>
      </c>
      <c r="X47" s="889">
        <v>0.8</v>
      </c>
      <c r="Y47" s="889">
        <v>0.9</v>
      </c>
      <c r="Z47" s="889">
        <v>12.3</v>
      </c>
      <c r="AA47" s="889">
        <v>12.4</v>
      </c>
      <c r="AB47" s="889">
        <v>11.6</v>
      </c>
      <c r="AC47" s="889">
        <v>11.5</v>
      </c>
      <c r="AD47" s="889">
        <v>11.1</v>
      </c>
      <c r="AE47" s="889">
        <v>10.3</v>
      </c>
      <c r="AF47" s="889">
        <v>10.1</v>
      </c>
      <c r="AG47" s="889">
        <v>9.4</v>
      </c>
      <c r="AH47" s="889">
        <v>9.3000000000000007</v>
      </c>
      <c r="AI47" s="889">
        <v>8.6</v>
      </c>
      <c r="AJ47" s="889">
        <v>8.4</v>
      </c>
      <c r="AK47" s="889">
        <v>8.4</v>
      </c>
      <c r="AL47" s="889">
        <v>8.1</v>
      </c>
      <c r="AM47" s="889">
        <v>7.8</v>
      </c>
      <c r="AN47" s="889">
        <v>7.8</v>
      </c>
      <c r="AO47" s="889">
        <v>7.3</v>
      </c>
      <c r="AP47" s="889">
        <v>7.3</v>
      </c>
      <c r="AQ47" s="889">
        <v>7.3</v>
      </c>
      <c r="AR47" s="889">
        <v>6.9</v>
      </c>
      <c r="AS47" s="889">
        <v>6.4</v>
      </c>
      <c r="AT47" s="889">
        <v>6.1</v>
      </c>
    </row>
    <row r="48" spans="1:46" ht="12" customHeight="1" x14ac:dyDescent="0.35">
      <c r="A48" s="891" t="s">
        <v>762</v>
      </c>
      <c r="B48" s="889">
        <v>20</v>
      </c>
      <c r="C48" s="889">
        <v>20.2</v>
      </c>
      <c r="D48" s="889">
        <v>20</v>
      </c>
      <c r="E48" s="889">
        <v>20.2</v>
      </c>
      <c r="F48" s="889">
        <v>20.2</v>
      </c>
      <c r="G48" s="889">
        <v>20.100000000000001</v>
      </c>
      <c r="H48" s="889">
        <v>19.8</v>
      </c>
      <c r="I48" s="889">
        <v>18.8</v>
      </c>
      <c r="J48" s="889">
        <v>20.7</v>
      </c>
      <c r="K48" s="889">
        <v>20.5</v>
      </c>
      <c r="L48" s="889">
        <v>20.6</v>
      </c>
      <c r="M48" s="889">
        <v>20.399999999999999</v>
      </c>
      <c r="N48" s="889">
        <v>20.7</v>
      </c>
      <c r="O48" s="889">
        <v>20.100000000000001</v>
      </c>
      <c r="P48" s="889">
        <v>19.5</v>
      </c>
      <c r="Q48" s="889">
        <v>19.5</v>
      </c>
      <c r="R48" s="889">
        <v>20</v>
      </c>
      <c r="S48" s="889">
        <v>19.2</v>
      </c>
      <c r="T48" s="889">
        <v>19.899999999999999</v>
      </c>
      <c r="U48" s="889">
        <v>18.8</v>
      </c>
      <c r="V48" s="889">
        <v>20.6</v>
      </c>
      <c r="W48" s="889">
        <v>18.600000000000001</v>
      </c>
      <c r="X48" s="889">
        <v>15.7</v>
      </c>
      <c r="Y48" s="889">
        <v>15.5</v>
      </c>
      <c r="Z48" s="889">
        <v>15</v>
      </c>
      <c r="AA48" s="889">
        <v>13.5</v>
      </c>
      <c r="AB48" s="889">
        <v>20.3</v>
      </c>
      <c r="AC48" s="889">
        <v>20.5</v>
      </c>
      <c r="AD48" s="889">
        <v>20.399999999999999</v>
      </c>
      <c r="AE48" s="889">
        <v>20.399999999999999</v>
      </c>
      <c r="AF48" s="889">
        <v>20.100000000000001</v>
      </c>
      <c r="AG48" s="889">
        <v>18.2</v>
      </c>
      <c r="AH48" s="889">
        <v>18.2</v>
      </c>
      <c r="AI48" s="889">
        <v>18.3</v>
      </c>
      <c r="AJ48" s="889">
        <v>18.600000000000001</v>
      </c>
      <c r="AK48" s="889">
        <v>18.2</v>
      </c>
      <c r="AL48" s="889">
        <v>18.3</v>
      </c>
      <c r="AM48" s="889">
        <v>18.2</v>
      </c>
      <c r="AN48" s="889">
        <v>16.899999999999999</v>
      </c>
      <c r="AO48" s="889">
        <v>16.600000000000001</v>
      </c>
      <c r="AP48" s="889">
        <v>16.600000000000001</v>
      </c>
      <c r="AQ48" s="889">
        <v>16.5</v>
      </c>
      <c r="AR48" s="889">
        <v>16.399999999999999</v>
      </c>
      <c r="AS48" s="889">
        <v>16.7</v>
      </c>
      <c r="AT48" s="889">
        <v>17.100000000000001</v>
      </c>
    </row>
    <row r="49" spans="1:46" ht="12" customHeight="1" x14ac:dyDescent="0.35">
      <c r="A49" s="888" t="s">
        <v>773</v>
      </c>
      <c r="B49" s="890"/>
      <c r="C49" s="890"/>
      <c r="D49" s="890"/>
      <c r="E49" s="890"/>
      <c r="F49" s="890"/>
      <c r="G49" s="890"/>
      <c r="H49" s="890"/>
      <c r="I49" s="890"/>
      <c r="J49" s="890"/>
      <c r="K49" s="890"/>
      <c r="L49" s="890"/>
      <c r="M49" s="890"/>
      <c r="N49" s="890"/>
      <c r="O49" s="890"/>
      <c r="P49" s="890"/>
      <c r="Q49" s="890"/>
      <c r="R49" s="890"/>
      <c r="S49" s="890"/>
      <c r="T49" s="890"/>
      <c r="U49" s="890"/>
      <c r="V49" s="890"/>
      <c r="W49" s="890"/>
      <c r="X49" s="890"/>
      <c r="Y49" s="890"/>
      <c r="Z49" s="890"/>
      <c r="AA49" s="890"/>
      <c r="AB49" s="890"/>
      <c r="AC49" s="890"/>
      <c r="AD49" s="890"/>
      <c r="AE49" s="890"/>
      <c r="AF49" s="890"/>
      <c r="AG49" s="890"/>
      <c r="AH49" s="890"/>
      <c r="AI49" s="890"/>
      <c r="AJ49" s="890"/>
      <c r="AK49" s="890"/>
      <c r="AL49" s="890"/>
      <c r="AM49" s="890"/>
      <c r="AN49" s="890"/>
      <c r="AO49" s="890"/>
      <c r="AP49" s="890"/>
      <c r="AQ49" s="890"/>
      <c r="AR49" s="890"/>
      <c r="AS49" s="890"/>
      <c r="AT49" s="890"/>
    </row>
    <row r="50" spans="1:46" ht="12" customHeight="1" x14ac:dyDescent="0.35">
      <c r="A50" s="891" t="s">
        <v>774</v>
      </c>
      <c r="B50" s="889">
        <v>34.299999999999997</v>
      </c>
      <c r="C50" s="889">
        <v>35</v>
      </c>
      <c r="D50" s="889">
        <v>35.299999999999997</v>
      </c>
      <c r="E50" s="889">
        <v>38.200000000000003</v>
      </c>
      <c r="F50" s="889">
        <v>37.775368538344551</v>
      </c>
      <c r="G50" s="889">
        <v>39.5</v>
      </c>
      <c r="H50" s="889">
        <v>38.700000000000003</v>
      </c>
      <c r="I50" s="889">
        <v>37.700000000000003</v>
      </c>
      <c r="J50" s="889">
        <v>41.2</v>
      </c>
      <c r="K50" s="889">
        <v>41.4</v>
      </c>
      <c r="L50" s="889">
        <v>40.4</v>
      </c>
      <c r="M50" s="889">
        <v>41.7</v>
      </c>
      <c r="N50" s="889">
        <v>41.8</v>
      </c>
      <c r="O50" s="889">
        <v>42.6</v>
      </c>
      <c r="P50" s="889">
        <v>42.5</v>
      </c>
      <c r="Q50" s="889">
        <v>42.5</v>
      </c>
      <c r="R50" s="889">
        <v>42.081302046778077</v>
      </c>
      <c r="S50" s="889">
        <v>42.3</v>
      </c>
      <c r="T50" s="889">
        <v>42</v>
      </c>
      <c r="U50" s="889">
        <v>39.700000000000003</v>
      </c>
      <c r="V50" s="889">
        <v>47.5</v>
      </c>
      <c r="W50" s="889">
        <v>41.5</v>
      </c>
      <c r="X50" s="889">
        <v>53.113188114093965</v>
      </c>
      <c r="Y50" s="889">
        <v>53.753074734657005</v>
      </c>
      <c r="Z50" s="889">
        <v>60.4</v>
      </c>
      <c r="AA50" s="889">
        <v>60.1</v>
      </c>
      <c r="AB50" s="889">
        <v>55.605956210699645</v>
      </c>
      <c r="AC50" s="889">
        <v>56.1</v>
      </c>
      <c r="AD50" s="889">
        <v>56.082697640651666</v>
      </c>
      <c r="AE50" s="889">
        <v>56.7</v>
      </c>
      <c r="AF50" s="889">
        <v>57</v>
      </c>
      <c r="AG50" s="889">
        <v>52.5</v>
      </c>
      <c r="AH50" s="889">
        <v>52.7</v>
      </c>
      <c r="AI50" s="889">
        <v>52.4</v>
      </c>
      <c r="AJ50" s="889">
        <v>52.3</v>
      </c>
      <c r="AK50" s="889">
        <v>51.1</v>
      </c>
      <c r="AL50" s="889">
        <v>50.8</v>
      </c>
      <c r="AM50" s="889">
        <v>50.5</v>
      </c>
      <c r="AN50" s="889">
        <v>46.6</v>
      </c>
      <c r="AO50" s="889">
        <v>44.1</v>
      </c>
      <c r="AP50" s="889">
        <v>45.1</v>
      </c>
      <c r="AQ50" s="889">
        <v>45.3</v>
      </c>
      <c r="AR50" s="889">
        <v>45.3</v>
      </c>
      <c r="AS50" s="889">
        <v>44.2</v>
      </c>
      <c r="AT50" s="889">
        <v>44.7</v>
      </c>
    </row>
    <row r="51" spans="1:46" ht="12" customHeight="1" x14ac:dyDescent="0.35">
      <c r="A51" s="891" t="s">
        <v>775</v>
      </c>
      <c r="B51" s="889">
        <v>63.5</v>
      </c>
      <c r="C51" s="889">
        <v>62.8</v>
      </c>
      <c r="D51" s="889">
        <v>62.5</v>
      </c>
      <c r="E51" s="889">
        <v>59.4</v>
      </c>
      <c r="F51" s="889">
        <v>59.9</v>
      </c>
      <c r="G51" s="889">
        <v>58.3</v>
      </c>
      <c r="H51" s="889">
        <v>59</v>
      </c>
      <c r="I51" s="889">
        <v>60.6</v>
      </c>
      <c r="J51" s="889">
        <v>57.2</v>
      </c>
      <c r="K51" s="889">
        <v>57</v>
      </c>
      <c r="L51" s="889">
        <v>58</v>
      </c>
      <c r="M51" s="889">
        <v>56.6</v>
      </c>
      <c r="N51" s="889">
        <v>56.6</v>
      </c>
      <c r="O51" s="889">
        <v>55.8</v>
      </c>
      <c r="P51" s="889">
        <v>56.1</v>
      </c>
      <c r="Q51" s="889">
        <v>56</v>
      </c>
      <c r="R51" s="889">
        <v>56.471347003812809</v>
      </c>
      <c r="S51" s="889">
        <v>57</v>
      </c>
      <c r="T51" s="889">
        <v>57.3</v>
      </c>
      <c r="U51" s="889">
        <v>59.7</v>
      </c>
      <c r="V51" s="889">
        <v>51.9</v>
      </c>
      <c r="W51" s="889">
        <v>56.7</v>
      </c>
      <c r="X51" s="889">
        <v>45.365459594818972</v>
      </c>
      <c r="Y51" s="889">
        <v>44.720872717375912</v>
      </c>
      <c r="Z51" s="889">
        <v>38.4</v>
      </c>
      <c r="AA51" s="889">
        <v>38.799999999999997</v>
      </c>
      <c r="AB51" s="889">
        <v>43.308829853336675</v>
      </c>
      <c r="AC51" s="889">
        <v>42.8</v>
      </c>
      <c r="AD51" s="889">
        <v>42.783550009234759</v>
      </c>
      <c r="AE51" s="889">
        <v>42.2</v>
      </c>
      <c r="AF51" s="889">
        <v>41.9</v>
      </c>
      <c r="AG51" s="889">
        <v>46.6</v>
      </c>
      <c r="AH51" s="889">
        <v>46.4</v>
      </c>
      <c r="AI51" s="889">
        <v>46.7</v>
      </c>
      <c r="AJ51" s="889">
        <v>46.8</v>
      </c>
      <c r="AK51" s="889">
        <v>48</v>
      </c>
      <c r="AL51" s="889">
        <v>48.3</v>
      </c>
      <c r="AM51" s="889">
        <v>48.6</v>
      </c>
      <c r="AN51" s="889">
        <v>52.6</v>
      </c>
      <c r="AO51" s="889">
        <v>55.2</v>
      </c>
      <c r="AP51" s="889">
        <v>54.2</v>
      </c>
      <c r="AQ51" s="889">
        <v>54</v>
      </c>
      <c r="AR51" s="889">
        <v>54</v>
      </c>
      <c r="AS51" s="889">
        <v>55</v>
      </c>
      <c r="AT51" s="889">
        <v>54.7</v>
      </c>
    </row>
    <row r="52" spans="1:46" ht="12" customHeight="1" x14ac:dyDescent="0.35">
      <c r="A52" s="898" t="s">
        <v>776</v>
      </c>
      <c r="B52" s="899">
        <v>2.2000000000000002</v>
      </c>
      <c r="C52" s="899">
        <v>2.2000000000000002</v>
      </c>
      <c r="D52" s="899">
        <v>2.2999999999999998</v>
      </c>
      <c r="E52" s="899">
        <v>2.4</v>
      </c>
      <c r="F52" s="899">
        <v>2.2737197151074371</v>
      </c>
      <c r="G52" s="899">
        <v>2.2000000000000002</v>
      </c>
      <c r="H52" s="899">
        <v>2.2000000000000002</v>
      </c>
      <c r="I52" s="899">
        <v>1.6</v>
      </c>
      <c r="J52" s="899">
        <v>1.6</v>
      </c>
      <c r="K52" s="899">
        <v>1.6</v>
      </c>
      <c r="L52" s="899">
        <v>1.6</v>
      </c>
      <c r="M52" s="899">
        <v>1.6</v>
      </c>
      <c r="N52" s="899">
        <v>1.6</v>
      </c>
      <c r="O52" s="899">
        <v>1.6</v>
      </c>
      <c r="P52" s="899">
        <v>1.4</v>
      </c>
      <c r="Q52" s="899">
        <v>1.5</v>
      </c>
      <c r="R52" s="899">
        <v>1.447350949409109</v>
      </c>
      <c r="S52" s="899">
        <v>0.7</v>
      </c>
      <c r="T52" s="899">
        <v>0.7</v>
      </c>
      <c r="U52" s="899">
        <v>0.6</v>
      </c>
      <c r="V52" s="899">
        <v>0.6</v>
      </c>
      <c r="W52" s="899">
        <v>1.8</v>
      </c>
      <c r="X52" s="899">
        <v>1.5213522910870596</v>
      </c>
      <c r="Y52" s="899">
        <v>1.5260525479670755</v>
      </c>
      <c r="Z52" s="899">
        <v>1.2</v>
      </c>
      <c r="AA52" s="899">
        <v>1.1000000000000001</v>
      </c>
      <c r="AB52" s="899">
        <v>1.0852139359636805</v>
      </c>
      <c r="AC52" s="899">
        <v>1.1000000000000001</v>
      </c>
      <c r="AD52" s="899">
        <v>1.1337523501135789</v>
      </c>
      <c r="AE52" s="899">
        <v>1.1000000000000001</v>
      </c>
      <c r="AF52" s="899">
        <v>1.1000000000000001</v>
      </c>
      <c r="AG52" s="899">
        <v>0.9</v>
      </c>
      <c r="AH52" s="899">
        <v>0.9</v>
      </c>
      <c r="AI52" s="899">
        <v>0.9</v>
      </c>
      <c r="AJ52" s="899">
        <v>0.9</v>
      </c>
      <c r="AK52" s="899">
        <v>0.9</v>
      </c>
      <c r="AL52" s="899">
        <v>0.9</v>
      </c>
      <c r="AM52" s="899">
        <v>0.9</v>
      </c>
      <c r="AN52" s="899">
        <v>0.78990571939373344</v>
      </c>
      <c r="AO52" s="899">
        <v>0.7</v>
      </c>
      <c r="AP52" s="899">
        <v>0.7</v>
      </c>
      <c r="AQ52" s="899">
        <v>0.7</v>
      </c>
      <c r="AR52" s="899">
        <v>0.7</v>
      </c>
      <c r="AS52" s="899">
        <v>0.7</v>
      </c>
      <c r="AT52" s="899">
        <v>0.7</v>
      </c>
    </row>
    <row r="53" spans="1:46" ht="12" customHeight="1" x14ac:dyDescent="0.35">
      <c r="A53" s="886" t="s">
        <v>789</v>
      </c>
      <c r="B53" s="900"/>
      <c r="C53" s="900"/>
      <c r="D53" s="900"/>
      <c r="E53" s="900"/>
      <c r="F53" s="900"/>
      <c r="G53" s="900"/>
      <c r="H53" s="900"/>
      <c r="I53" s="900"/>
      <c r="J53" s="900"/>
      <c r="K53" s="900"/>
      <c r="L53" s="900"/>
      <c r="M53" s="900"/>
      <c r="N53" s="900"/>
      <c r="O53" s="900"/>
      <c r="P53" s="900"/>
      <c r="Q53" s="900"/>
      <c r="R53" s="900"/>
      <c r="S53" s="900"/>
      <c r="T53" s="900"/>
      <c r="U53" s="900"/>
      <c r="V53" s="900"/>
      <c r="W53" s="900"/>
      <c r="X53" s="900"/>
      <c r="Y53" s="900"/>
      <c r="Z53" s="900"/>
      <c r="AA53" s="900"/>
      <c r="AB53" s="900"/>
      <c r="AC53" s="900"/>
      <c r="AD53" s="900"/>
      <c r="AE53" s="900"/>
      <c r="AF53" s="900"/>
      <c r="AG53" s="900"/>
      <c r="AH53" s="900"/>
      <c r="AI53" s="900"/>
      <c r="AJ53" s="900"/>
      <c r="AK53" s="900"/>
      <c r="AL53" s="900"/>
      <c r="AM53" s="900"/>
      <c r="AN53" s="900"/>
      <c r="AO53" s="900"/>
      <c r="AP53" s="900"/>
      <c r="AQ53" s="900"/>
      <c r="AR53" s="900"/>
      <c r="AS53" s="900"/>
      <c r="AT53" s="900"/>
    </row>
    <row r="54" spans="1:46" ht="12" customHeight="1" x14ac:dyDescent="0.35">
      <c r="A54" s="891" t="s">
        <v>778</v>
      </c>
      <c r="B54" s="889">
        <v>19.600000000000001</v>
      </c>
      <c r="C54" s="889">
        <v>20.9</v>
      </c>
      <c r="D54" s="889">
        <v>20.8</v>
      </c>
      <c r="E54" s="889">
        <v>20.9</v>
      </c>
      <c r="F54" s="889">
        <v>20.5</v>
      </c>
      <c r="G54" s="889">
        <v>20</v>
      </c>
      <c r="H54" s="889">
        <v>19.899999999999999</v>
      </c>
      <c r="I54" s="889">
        <v>18.8</v>
      </c>
      <c r="J54" s="889">
        <v>17.2</v>
      </c>
      <c r="K54" s="889">
        <v>17</v>
      </c>
      <c r="L54" s="889">
        <v>16.7</v>
      </c>
      <c r="M54" s="889">
        <v>17</v>
      </c>
      <c r="N54" s="889">
        <v>16.399999999999999</v>
      </c>
      <c r="O54" s="889">
        <v>16.399999999999999</v>
      </c>
      <c r="P54" s="889">
        <v>15.8</v>
      </c>
      <c r="Q54" s="889">
        <v>15.5</v>
      </c>
      <c r="R54" s="889">
        <v>15</v>
      </c>
      <c r="S54" s="889">
        <v>14.9</v>
      </c>
      <c r="T54" s="889">
        <v>14.5</v>
      </c>
      <c r="U54" s="889">
        <v>15.2</v>
      </c>
      <c r="V54" s="889">
        <v>15</v>
      </c>
      <c r="W54" s="889">
        <v>20.9</v>
      </c>
      <c r="X54" s="889">
        <v>25.1</v>
      </c>
      <c r="Y54" s="889">
        <v>24.4</v>
      </c>
      <c r="Z54" s="889">
        <v>28</v>
      </c>
      <c r="AA54" s="889">
        <v>29</v>
      </c>
      <c r="AB54" s="889">
        <v>33.6</v>
      </c>
      <c r="AC54" s="889">
        <v>34.9</v>
      </c>
      <c r="AD54" s="889">
        <v>35.200000000000003</v>
      </c>
      <c r="AE54" s="889">
        <v>35.6</v>
      </c>
      <c r="AF54" s="889">
        <v>33.4</v>
      </c>
      <c r="AG54" s="889">
        <v>34.700000000000003</v>
      </c>
      <c r="AH54" s="889">
        <v>35.1</v>
      </c>
      <c r="AI54" s="889">
        <v>35.5</v>
      </c>
      <c r="AJ54" s="889">
        <v>33.799999999999997</v>
      </c>
      <c r="AK54" s="889">
        <v>34.5</v>
      </c>
      <c r="AL54" s="889">
        <v>33.700000000000003</v>
      </c>
      <c r="AM54" s="889">
        <v>32.799999999999997</v>
      </c>
      <c r="AN54" s="889">
        <v>32.6</v>
      </c>
      <c r="AO54" s="889">
        <v>34.200000000000003</v>
      </c>
      <c r="AP54" s="889">
        <v>32.5</v>
      </c>
      <c r="AQ54" s="889">
        <v>32.4</v>
      </c>
      <c r="AR54" s="889">
        <v>32.6</v>
      </c>
      <c r="AS54" s="889">
        <v>32.6</v>
      </c>
      <c r="AT54" s="889">
        <v>31.1</v>
      </c>
    </row>
    <row r="55" spans="1:46" ht="12" customHeight="1" x14ac:dyDescent="0.35">
      <c r="A55" s="891" t="s">
        <v>779</v>
      </c>
      <c r="B55" s="889">
        <v>30.3</v>
      </c>
      <c r="C55" s="889">
        <v>32</v>
      </c>
      <c r="D55" s="889">
        <v>32.1</v>
      </c>
      <c r="E55" s="889">
        <v>32.4</v>
      </c>
      <c r="F55" s="889">
        <v>32.1</v>
      </c>
      <c r="G55" s="889">
        <v>31.9</v>
      </c>
      <c r="H55" s="889">
        <v>32.200000000000003</v>
      </c>
      <c r="I55" s="889">
        <v>30.8</v>
      </c>
      <c r="J55" s="889">
        <v>28</v>
      </c>
      <c r="K55" s="889">
        <v>28.1</v>
      </c>
      <c r="L55" s="889">
        <v>27.7</v>
      </c>
      <c r="M55" s="889">
        <v>28.2</v>
      </c>
      <c r="N55" s="889">
        <v>27.1</v>
      </c>
      <c r="O55" s="889">
        <v>27.6</v>
      </c>
      <c r="P55" s="889">
        <v>26.9</v>
      </c>
      <c r="Q55" s="889">
        <v>26.4</v>
      </c>
      <c r="R55" s="889">
        <v>25.6</v>
      </c>
      <c r="S55" s="889">
        <v>25.2</v>
      </c>
      <c r="T55" s="889">
        <v>24.3</v>
      </c>
      <c r="U55" s="889">
        <v>25.2</v>
      </c>
      <c r="V55" s="889">
        <v>25.2</v>
      </c>
      <c r="W55" s="889">
        <v>35</v>
      </c>
      <c r="X55" s="889">
        <v>42.7</v>
      </c>
      <c r="Y55" s="889">
        <v>44.1</v>
      </c>
      <c r="Z55" s="889">
        <v>52.2</v>
      </c>
      <c r="AA55" s="889">
        <v>53.1</v>
      </c>
      <c r="AB55" s="889">
        <v>59.3</v>
      </c>
      <c r="AC55" s="889">
        <v>57.4</v>
      </c>
      <c r="AD55" s="889">
        <v>55.5</v>
      </c>
      <c r="AE55" s="889">
        <v>54.2</v>
      </c>
      <c r="AF55" s="889">
        <v>50</v>
      </c>
      <c r="AG55" s="889">
        <v>51.7</v>
      </c>
      <c r="AH55" s="889">
        <v>50.8</v>
      </c>
      <c r="AI55" s="889">
        <v>51.5</v>
      </c>
      <c r="AJ55" s="889">
        <v>48.8</v>
      </c>
      <c r="AK55" s="889">
        <v>49.9</v>
      </c>
      <c r="AL55" s="889">
        <v>49.1</v>
      </c>
      <c r="AM55" s="889">
        <v>47.6</v>
      </c>
      <c r="AN55" s="889">
        <v>47.8</v>
      </c>
      <c r="AO55" s="889">
        <v>50.9</v>
      </c>
      <c r="AP55" s="889">
        <v>49.6</v>
      </c>
      <c r="AQ55" s="889">
        <v>50.2</v>
      </c>
      <c r="AR55" s="889">
        <v>50.2</v>
      </c>
      <c r="AS55" s="889">
        <v>50.2</v>
      </c>
      <c r="AT55" s="889">
        <v>47.2</v>
      </c>
    </row>
    <row r="56" spans="1:46" ht="12" customHeight="1" x14ac:dyDescent="0.35">
      <c r="A56" s="891" t="s">
        <v>780</v>
      </c>
      <c r="B56" s="889">
        <v>156.5</v>
      </c>
      <c r="C56" s="889">
        <v>161</v>
      </c>
      <c r="D56" s="889">
        <v>166.1</v>
      </c>
      <c r="E56" s="889">
        <v>171.6</v>
      </c>
      <c r="F56" s="889">
        <v>179.4</v>
      </c>
      <c r="G56" s="889">
        <v>191.8</v>
      </c>
      <c r="H56" s="889">
        <v>193.7</v>
      </c>
      <c r="I56" s="889">
        <v>209.7</v>
      </c>
      <c r="J56" s="889">
        <v>224</v>
      </c>
      <c r="K56" s="889">
        <v>229</v>
      </c>
      <c r="L56" s="889">
        <v>235.5</v>
      </c>
      <c r="M56" s="889">
        <v>245.8</v>
      </c>
      <c r="N56" s="889">
        <v>261.3</v>
      </c>
      <c r="O56" s="889">
        <v>285.7</v>
      </c>
      <c r="P56" s="889">
        <v>279.3</v>
      </c>
      <c r="Q56" s="889">
        <v>277</v>
      </c>
      <c r="R56" s="889">
        <v>296.39999999999998</v>
      </c>
      <c r="S56" s="889">
        <v>330</v>
      </c>
      <c r="T56" s="889">
        <v>348.8</v>
      </c>
      <c r="U56" s="889">
        <v>340.9</v>
      </c>
      <c r="V56" s="889">
        <v>355.6</v>
      </c>
      <c r="W56" s="889">
        <v>290.3</v>
      </c>
      <c r="X56" s="889">
        <v>248</v>
      </c>
      <c r="Y56" s="889">
        <v>259.39999999999998</v>
      </c>
      <c r="Z56" s="889">
        <v>238.7</v>
      </c>
      <c r="AA56" s="889">
        <v>231</v>
      </c>
      <c r="AB56" s="889">
        <v>212.4</v>
      </c>
      <c r="AC56" s="889">
        <v>220.6</v>
      </c>
      <c r="AD56" s="889">
        <v>205.1</v>
      </c>
      <c r="AE56" s="889">
        <v>185.1</v>
      </c>
      <c r="AF56" s="889">
        <v>180.4</v>
      </c>
      <c r="AG56" s="889">
        <v>172.8</v>
      </c>
      <c r="AH56" s="889">
        <v>148.69999999999999</v>
      </c>
      <c r="AI56" s="889">
        <v>142.4</v>
      </c>
      <c r="AJ56" s="889">
        <v>139.80000000000001</v>
      </c>
      <c r="AK56" s="889">
        <v>146.4</v>
      </c>
      <c r="AL56" s="889">
        <v>154</v>
      </c>
      <c r="AM56" s="889">
        <v>178.5</v>
      </c>
      <c r="AN56" s="889">
        <v>167.9</v>
      </c>
      <c r="AO56" s="889">
        <v>169.9</v>
      </c>
      <c r="AP56" s="889">
        <v>175.6</v>
      </c>
      <c r="AQ56" s="889">
        <v>189.4</v>
      </c>
      <c r="AR56" s="889">
        <v>184.8</v>
      </c>
      <c r="AS56" s="889">
        <v>197.2</v>
      </c>
      <c r="AT56" s="889">
        <v>196.9</v>
      </c>
    </row>
    <row r="57" spans="1:46" ht="12" customHeight="1" x14ac:dyDescent="0.35">
      <c r="A57" s="901" t="s">
        <v>790</v>
      </c>
      <c r="B57" s="902">
        <v>2.8</v>
      </c>
      <c r="C57" s="902">
        <v>3</v>
      </c>
      <c r="D57" s="902">
        <v>3.2</v>
      </c>
      <c r="E57" s="902">
        <v>2.8</v>
      </c>
      <c r="F57" s="902">
        <v>2.9</v>
      </c>
      <c r="G57" s="902">
        <v>2.8</v>
      </c>
      <c r="H57" s="902">
        <v>2.6</v>
      </c>
      <c r="I57" s="902">
        <v>3.5</v>
      </c>
      <c r="J57" s="902">
        <v>5.2</v>
      </c>
      <c r="K57" s="902">
        <v>5.3</v>
      </c>
      <c r="L57" s="902">
        <v>5.9</v>
      </c>
      <c r="M57" s="902">
        <v>5.4</v>
      </c>
      <c r="N57" s="902">
        <v>3.6</v>
      </c>
      <c r="O57" s="902">
        <v>3.3</v>
      </c>
      <c r="P57" s="902">
        <v>3.1</v>
      </c>
      <c r="Q57" s="902">
        <v>2.6</v>
      </c>
      <c r="R57" s="902">
        <v>2.6</v>
      </c>
      <c r="S57" s="902">
        <v>2.6</v>
      </c>
      <c r="T57" s="902">
        <v>2.5</v>
      </c>
      <c r="U57" s="902">
        <v>2.6</v>
      </c>
      <c r="V57" s="902">
        <v>4.8</v>
      </c>
      <c r="W57" s="902">
        <v>5.2</v>
      </c>
      <c r="X57" s="902">
        <v>5.5</v>
      </c>
      <c r="Y57" s="902">
        <v>6.1</v>
      </c>
      <c r="Z57" s="902">
        <v>3.8</v>
      </c>
      <c r="AA57" s="902">
        <v>3.8</v>
      </c>
      <c r="AB57" s="902">
        <v>3.6</v>
      </c>
      <c r="AC57" s="902">
        <v>3.4</v>
      </c>
      <c r="AD57" s="902">
        <v>3</v>
      </c>
      <c r="AE57" s="902">
        <v>2.7</v>
      </c>
      <c r="AF57" s="902">
        <v>2.5</v>
      </c>
      <c r="AG57" s="902">
        <v>2.4</v>
      </c>
      <c r="AH57" s="902">
        <v>2.2999999999999998</v>
      </c>
      <c r="AI57" s="902">
        <v>5.0999999999999996</v>
      </c>
      <c r="AJ57" s="902">
        <v>5</v>
      </c>
      <c r="AK57" s="902">
        <v>5.0999999999999996</v>
      </c>
      <c r="AL57" s="902">
        <v>5.0999999999999996</v>
      </c>
      <c r="AM57" s="902">
        <v>2.4</v>
      </c>
      <c r="AN57" s="902">
        <v>2.2999999999999998</v>
      </c>
      <c r="AO57" s="902">
        <v>2.2000000000000002</v>
      </c>
      <c r="AP57" s="902">
        <v>2.2999999999999998</v>
      </c>
      <c r="AQ57" s="902">
        <v>2.2999999999999998</v>
      </c>
      <c r="AR57" s="902">
        <v>2.2000000000000002</v>
      </c>
      <c r="AS57" s="902">
        <v>2.2999999999999998</v>
      </c>
      <c r="AT57" s="902">
        <v>2.2000000000000002</v>
      </c>
    </row>
    <row r="58" spans="1:46" ht="20" hidden="1" customHeight="1" x14ac:dyDescent="0.35">
      <c r="A58" s="1361" t="s">
        <v>781</v>
      </c>
      <c r="B58" s="1361"/>
      <c r="C58" s="1361"/>
      <c r="D58" s="1361"/>
      <c r="E58" s="1361"/>
      <c r="F58" s="1361"/>
      <c r="G58" s="1361"/>
      <c r="H58" s="1361"/>
      <c r="I58" s="1361"/>
      <c r="J58" s="1361"/>
      <c r="K58" s="1361"/>
      <c r="L58" s="1361"/>
      <c r="M58" s="1361"/>
      <c r="N58" s="1361"/>
      <c r="O58" s="1361"/>
      <c r="P58" s="1361"/>
      <c r="Q58" s="1361"/>
      <c r="R58" s="1361"/>
      <c r="S58" s="1361"/>
      <c r="T58" s="1361"/>
      <c r="U58" s="1361"/>
      <c r="V58" s="884"/>
      <c r="W58" s="884"/>
      <c r="X58" s="884"/>
      <c r="Y58" s="884"/>
      <c r="Z58" s="884"/>
      <c r="AA58" s="884"/>
      <c r="AB58" s="884"/>
      <c r="AC58" s="884"/>
      <c r="AD58" s="884"/>
      <c r="AE58" s="884"/>
      <c r="AF58" s="884"/>
      <c r="AG58" s="884"/>
      <c r="AH58" s="884"/>
      <c r="AI58" s="884"/>
      <c r="AJ58" s="884"/>
      <c r="AK58" s="884"/>
      <c r="AL58" s="884"/>
      <c r="AM58" s="884"/>
      <c r="AN58" s="884"/>
      <c r="AO58" s="884"/>
      <c r="AP58" s="884"/>
      <c r="AQ58" s="884"/>
      <c r="AR58" s="884"/>
      <c r="AS58" s="884"/>
      <c r="AT58" s="884"/>
    </row>
    <row r="59" spans="1:46" ht="20" hidden="1" customHeight="1" x14ac:dyDescent="0.35">
      <c r="A59" s="903" t="s">
        <v>782</v>
      </c>
      <c r="B59" s="903"/>
      <c r="C59" s="903"/>
      <c r="D59" s="903"/>
      <c r="E59" s="903"/>
      <c r="F59" s="903"/>
      <c r="G59" s="903"/>
      <c r="H59" s="903"/>
      <c r="I59" s="903"/>
      <c r="J59" s="903"/>
      <c r="K59" s="903"/>
      <c r="L59" s="904"/>
      <c r="M59" s="904"/>
      <c r="N59" s="904"/>
      <c r="O59" s="904"/>
      <c r="P59" s="904"/>
      <c r="Q59" s="904"/>
      <c r="R59" s="904"/>
      <c r="S59" s="904"/>
      <c r="T59" s="904"/>
      <c r="U59" s="904"/>
      <c r="V59" s="904"/>
      <c r="W59" s="904"/>
      <c r="X59" s="904"/>
      <c r="Y59" s="904"/>
      <c r="Z59" s="904"/>
      <c r="AA59" s="904"/>
      <c r="AB59" s="904"/>
      <c r="AC59" s="904"/>
      <c r="AD59" s="904"/>
      <c r="AE59" s="904"/>
      <c r="AF59" s="904"/>
      <c r="AG59" s="904"/>
      <c r="AH59" s="904"/>
      <c r="AI59" s="904"/>
      <c r="AJ59" s="904"/>
      <c r="AK59" s="904"/>
      <c r="AL59" s="904"/>
      <c r="AM59" s="904"/>
      <c r="AN59" s="904"/>
      <c r="AO59" s="904"/>
      <c r="AP59" s="904"/>
      <c r="AQ59" s="904"/>
      <c r="AR59" s="904"/>
      <c r="AS59" s="904"/>
      <c r="AT59" s="904"/>
    </row>
    <row r="60" spans="1:46" ht="20" hidden="1" customHeight="1" x14ac:dyDescent="0.35">
      <c r="A60" s="1362" t="s">
        <v>783</v>
      </c>
      <c r="B60" s="1362"/>
      <c r="C60" s="1362"/>
      <c r="D60" s="1362"/>
      <c r="E60" s="1362"/>
      <c r="F60" s="1362"/>
      <c r="G60" s="1362"/>
      <c r="H60" s="1362"/>
      <c r="I60" s="1362"/>
      <c r="J60" s="1362"/>
      <c r="K60" s="1362"/>
      <c r="L60" s="1362"/>
      <c r="M60" s="1362"/>
      <c r="N60" s="1362"/>
      <c r="O60" s="1362"/>
      <c r="P60" s="1362"/>
      <c r="Q60" s="1362"/>
      <c r="R60" s="1362"/>
      <c r="S60" s="1362"/>
      <c r="T60" s="1362"/>
      <c r="U60" s="1362"/>
      <c r="V60" s="884"/>
      <c r="W60" s="884"/>
      <c r="X60" s="884"/>
      <c r="Y60" s="884"/>
      <c r="Z60" s="884"/>
      <c r="AA60" s="884"/>
      <c r="AB60" s="884"/>
      <c r="AC60" s="884"/>
      <c r="AD60" s="884"/>
      <c r="AE60" s="884"/>
      <c r="AF60" s="884"/>
      <c r="AG60" s="884"/>
      <c r="AH60" s="884"/>
      <c r="AI60" s="884"/>
      <c r="AJ60" s="884"/>
      <c r="AK60" s="884"/>
      <c r="AL60" s="884"/>
      <c r="AM60" s="884"/>
      <c r="AN60" s="884"/>
      <c r="AO60" s="884"/>
      <c r="AP60" s="884"/>
      <c r="AQ60" s="884"/>
      <c r="AR60" s="884"/>
      <c r="AS60" s="884"/>
      <c r="AT60" s="884"/>
    </row>
    <row r="61" spans="1:46" ht="20" hidden="1" customHeight="1" x14ac:dyDescent="0.35">
      <c r="A61" s="903" t="s">
        <v>784</v>
      </c>
      <c r="B61" s="1135"/>
      <c r="C61" s="1135"/>
      <c r="D61" s="1135"/>
      <c r="E61" s="1135"/>
      <c r="F61" s="1135"/>
      <c r="G61" s="1135"/>
      <c r="H61" s="1135"/>
      <c r="I61" s="1135"/>
      <c r="J61" s="1135"/>
      <c r="K61" s="1135"/>
      <c r="L61" s="1135"/>
      <c r="M61" s="1135"/>
      <c r="N61" s="1135"/>
      <c r="O61" s="1135"/>
      <c r="P61" s="1135"/>
      <c r="Q61" s="1135"/>
      <c r="R61" s="1135"/>
      <c r="S61" s="1135"/>
      <c r="T61" s="1135"/>
      <c r="U61" s="1135"/>
      <c r="V61" s="884"/>
      <c r="W61" s="884"/>
      <c r="X61" s="884"/>
      <c r="Y61" s="884"/>
      <c r="Z61" s="884"/>
      <c r="AA61" s="884"/>
      <c r="AB61" s="884"/>
      <c r="AC61" s="884"/>
      <c r="AD61" s="884"/>
      <c r="AE61" s="884"/>
      <c r="AF61" s="884"/>
      <c r="AG61" s="884"/>
      <c r="AH61" s="884"/>
      <c r="AI61" s="884"/>
      <c r="AJ61" s="884"/>
      <c r="AK61" s="884"/>
      <c r="AL61" s="884"/>
      <c r="AM61" s="884"/>
      <c r="AN61" s="884"/>
      <c r="AO61" s="884"/>
      <c r="AP61" s="884"/>
      <c r="AQ61" s="884"/>
      <c r="AR61" s="884"/>
      <c r="AS61" s="884"/>
      <c r="AT61" s="884"/>
    </row>
    <row r="62" spans="1:46" s="1044" customFormat="1" ht="20" hidden="1" customHeight="1" x14ac:dyDescent="0.3">
      <c r="A62" s="905" t="s">
        <v>785</v>
      </c>
      <c r="B62" s="906"/>
      <c r="C62" s="906"/>
      <c r="D62" s="906"/>
      <c r="E62" s="906"/>
      <c r="F62" s="906"/>
      <c r="G62" s="906"/>
      <c r="H62" s="906"/>
      <c r="I62" s="906"/>
      <c r="J62" s="906"/>
      <c r="K62" s="906"/>
      <c r="L62" s="906"/>
      <c r="M62" s="906"/>
      <c r="N62" s="906"/>
      <c r="O62" s="906"/>
      <c r="P62" s="907"/>
      <c r="Q62" s="907"/>
      <c r="R62" s="907"/>
      <c r="S62" s="907"/>
      <c r="T62" s="907"/>
      <c r="U62" s="907"/>
      <c r="V62" s="907"/>
      <c r="W62" s="907"/>
      <c r="X62" s="907"/>
      <c r="Y62" s="907"/>
      <c r="Z62" s="907"/>
      <c r="AA62" s="907"/>
      <c r="AB62" s="907"/>
      <c r="AC62" s="907"/>
      <c r="AD62" s="907"/>
      <c r="AE62" s="907"/>
      <c r="AF62" s="907"/>
      <c r="AG62" s="907"/>
      <c r="AH62" s="907"/>
      <c r="AI62" s="907"/>
      <c r="AJ62" s="907"/>
      <c r="AK62" s="907"/>
      <c r="AL62" s="907"/>
      <c r="AM62" s="907"/>
      <c r="AN62" s="907"/>
      <c r="AO62" s="907"/>
      <c r="AP62" s="907"/>
      <c r="AQ62" s="907"/>
      <c r="AR62" s="907"/>
      <c r="AS62" s="907"/>
      <c r="AT62" s="907"/>
    </row>
    <row r="63" spans="1:46" s="908" customFormat="1" ht="12.25" customHeight="1" x14ac:dyDescent="0.35">
      <c r="A63" s="1363" t="s">
        <v>781</v>
      </c>
      <c r="B63" s="1363"/>
      <c r="C63" s="1363"/>
      <c r="D63" s="1363"/>
      <c r="E63" s="1363"/>
      <c r="F63" s="1363"/>
      <c r="G63" s="1363"/>
      <c r="H63" s="1363"/>
      <c r="I63" s="1363"/>
      <c r="J63" s="1363"/>
      <c r="K63" s="1363"/>
      <c r="L63" s="1363"/>
      <c r="M63" s="1363"/>
      <c r="N63" s="1363"/>
      <c r="O63" s="1363"/>
      <c r="P63" s="1363"/>
      <c r="Q63" s="1363"/>
      <c r="R63" s="1363"/>
      <c r="S63" s="1363"/>
      <c r="T63" s="1363"/>
      <c r="U63" s="1363"/>
      <c r="V63" s="1363"/>
      <c r="W63" s="1363"/>
      <c r="X63" s="1363"/>
      <c r="Y63" s="1363"/>
      <c r="Z63" s="1363"/>
      <c r="AA63" s="1363"/>
      <c r="AB63" s="1363"/>
      <c r="AC63" s="1363"/>
      <c r="AD63" s="1363"/>
      <c r="AE63" s="1363"/>
      <c r="AF63" s="1363"/>
      <c r="AG63" s="1363"/>
      <c r="AH63" s="1363"/>
      <c r="AI63" s="1363"/>
      <c r="AJ63" s="1363"/>
      <c r="AK63" s="1363"/>
      <c r="AL63" s="1363"/>
      <c r="AM63" s="1363"/>
      <c r="AN63" s="1363"/>
      <c r="AO63" s="1363"/>
      <c r="AP63" s="1363"/>
      <c r="AQ63" s="1363"/>
      <c r="AR63" s="1363"/>
      <c r="AS63" s="1363"/>
      <c r="AT63" s="1363"/>
    </row>
    <row r="64" spans="1:46" s="908" customFormat="1" ht="12.25" customHeight="1" x14ac:dyDescent="0.35">
      <c r="A64" s="1363" t="s">
        <v>786</v>
      </c>
      <c r="B64" s="1363"/>
      <c r="C64" s="1363"/>
      <c r="D64" s="1363"/>
      <c r="E64" s="1363"/>
      <c r="F64" s="1363"/>
      <c r="G64" s="1363"/>
      <c r="H64" s="1363"/>
      <c r="I64" s="1363"/>
      <c r="J64" s="1363"/>
      <c r="K64" s="1363"/>
      <c r="L64" s="1363"/>
      <c r="M64" s="1363"/>
      <c r="N64" s="1363"/>
      <c r="O64" s="1363"/>
      <c r="P64" s="1363"/>
      <c r="Q64" s="1363"/>
      <c r="R64" s="1363"/>
      <c r="S64" s="1363"/>
      <c r="T64" s="1363"/>
      <c r="U64" s="1363"/>
      <c r="V64" s="1363"/>
      <c r="W64" s="1363"/>
      <c r="X64" s="1363"/>
      <c r="Y64" s="1363"/>
      <c r="Z64" s="1363"/>
      <c r="AA64" s="1363"/>
      <c r="AB64" s="1363"/>
      <c r="AC64" s="1363"/>
      <c r="AD64" s="1363"/>
      <c r="AE64" s="1363"/>
      <c r="AF64" s="1363"/>
      <c r="AG64" s="1363"/>
      <c r="AH64" s="1363"/>
      <c r="AI64" s="1363"/>
      <c r="AJ64" s="1363"/>
      <c r="AK64" s="1363"/>
      <c r="AL64" s="1363"/>
      <c r="AM64" s="1363"/>
      <c r="AN64" s="1363"/>
      <c r="AO64" s="1363"/>
      <c r="AP64" s="1363"/>
      <c r="AQ64" s="1363"/>
      <c r="AR64" s="1363"/>
      <c r="AS64" s="1363"/>
      <c r="AT64" s="1363"/>
    </row>
    <row r="65" spans="1:46" s="908" customFormat="1" ht="12.25" customHeight="1" x14ac:dyDescent="0.35">
      <c r="A65" s="1212" t="s">
        <v>1016</v>
      </c>
      <c r="B65" s="1212"/>
      <c r="C65" s="1212"/>
      <c r="D65" s="1212"/>
      <c r="E65" s="1212"/>
      <c r="F65" s="1212"/>
      <c r="G65" s="1212"/>
      <c r="H65" s="1212"/>
      <c r="I65" s="1212"/>
      <c r="J65" s="1212"/>
      <c r="K65" s="1212"/>
      <c r="L65" s="1212"/>
      <c r="M65" s="1212"/>
      <c r="N65" s="1212"/>
      <c r="O65" s="1212"/>
      <c r="P65" s="1212"/>
      <c r="Q65" s="1212"/>
      <c r="R65" s="1212"/>
      <c r="S65" s="1212"/>
      <c r="T65" s="1212"/>
      <c r="U65" s="1212"/>
      <c r="V65" s="1212"/>
      <c r="W65" s="1212"/>
      <c r="X65" s="1212"/>
      <c r="Y65" s="1212"/>
      <c r="Z65" s="1212"/>
      <c r="AA65" s="1212"/>
      <c r="AB65" s="1212"/>
      <c r="AC65" s="1212"/>
      <c r="AD65" s="1212"/>
      <c r="AE65" s="1212"/>
      <c r="AF65" s="1212"/>
      <c r="AG65" s="1212"/>
      <c r="AH65" s="1212"/>
      <c r="AI65" s="1212"/>
      <c r="AJ65" s="1212"/>
      <c r="AK65" s="1212"/>
      <c r="AL65" s="1212"/>
      <c r="AM65" s="1212"/>
      <c r="AN65" s="1212"/>
      <c r="AO65" s="1212"/>
      <c r="AP65" s="1212"/>
      <c r="AQ65" s="1212"/>
      <c r="AR65" s="1212"/>
      <c r="AS65" s="1212"/>
      <c r="AT65" s="1212"/>
    </row>
    <row r="66" spans="1:46" s="908" customFormat="1" ht="13.5" customHeight="1" x14ac:dyDescent="0.35">
      <c r="A66" s="1364" t="s">
        <v>787</v>
      </c>
      <c r="B66" s="1364"/>
      <c r="C66" s="1364"/>
      <c r="D66" s="1364"/>
      <c r="E66" s="1364"/>
      <c r="F66" s="1364"/>
      <c r="G66" s="1364"/>
      <c r="H66" s="1364"/>
      <c r="I66" s="1364"/>
      <c r="J66" s="1364"/>
      <c r="K66" s="1364"/>
      <c r="L66" s="1364"/>
      <c r="M66" s="1364"/>
      <c r="N66" s="1364"/>
      <c r="O66" s="1364"/>
      <c r="P66" s="1364"/>
      <c r="Q66" s="1364"/>
      <c r="R66" s="1364"/>
      <c r="S66" s="1364"/>
      <c r="T66" s="1364"/>
      <c r="U66" s="1364"/>
      <c r="V66" s="1364"/>
      <c r="W66" s="1364"/>
      <c r="X66" s="1364"/>
      <c r="Y66" s="1364"/>
      <c r="Z66" s="1364"/>
      <c r="AA66" s="1364"/>
      <c r="AB66" s="1364"/>
      <c r="AC66" s="1364"/>
      <c r="AD66" s="1364"/>
      <c r="AE66" s="1364"/>
      <c r="AF66" s="1364"/>
      <c r="AG66" s="1364"/>
      <c r="AH66" s="1364"/>
      <c r="AI66" s="1364"/>
      <c r="AJ66" s="1364"/>
      <c r="AK66" s="1364"/>
      <c r="AL66" s="1364"/>
      <c r="AM66" s="1364"/>
      <c r="AN66" s="1364"/>
      <c r="AO66" s="1364"/>
      <c r="AP66" s="1364"/>
      <c r="AQ66" s="1364"/>
      <c r="AR66" s="1364"/>
      <c r="AS66" s="1364"/>
      <c r="AT66" s="1364"/>
    </row>
    <row r="67" spans="1:46" s="1043" customFormat="1" x14ac:dyDescent="0.35">
      <c r="A67" s="905"/>
      <c r="B67" s="905"/>
      <c r="C67" s="905"/>
      <c r="D67" s="905"/>
      <c r="E67" s="905"/>
      <c r="F67" s="905"/>
      <c r="G67" s="905"/>
      <c r="H67" s="905"/>
      <c r="I67" s="905"/>
      <c r="J67" s="905"/>
      <c r="K67" s="905"/>
      <c r="L67" s="905"/>
      <c r="M67" s="905"/>
      <c r="N67" s="905"/>
      <c r="O67" s="905"/>
      <c r="P67" s="905"/>
      <c r="Q67" s="905"/>
      <c r="R67" s="905"/>
      <c r="S67" s="905"/>
      <c r="T67" s="905"/>
      <c r="U67" s="905"/>
      <c r="V67" s="905"/>
      <c r="W67" s="905"/>
      <c r="X67" s="905"/>
      <c r="Y67" s="905"/>
      <c r="Z67" s="905"/>
      <c r="AA67" s="905"/>
      <c r="AB67" s="905"/>
      <c r="AC67" s="905"/>
      <c r="AD67" s="905"/>
      <c r="AE67" s="905"/>
      <c r="AF67" s="905"/>
      <c r="AG67" s="905"/>
      <c r="AH67" s="905"/>
      <c r="AI67" s="905"/>
      <c r="AJ67" s="905"/>
      <c r="AK67" s="905"/>
      <c r="AL67" s="905"/>
      <c r="AM67" s="905"/>
      <c r="AN67" s="905"/>
      <c r="AO67" s="905"/>
      <c r="AP67" s="905"/>
      <c r="AQ67" s="905"/>
      <c r="AR67" s="905"/>
      <c r="AS67" s="905"/>
      <c r="AT67" s="905"/>
    </row>
    <row r="68" spans="1:46" s="1041" customFormat="1" x14ac:dyDescent="0.35">
      <c r="A68" s="1042"/>
      <c r="B68" s="1042"/>
      <c r="C68" s="1042"/>
      <c r="D68" s="1042"/>
      <c r="E68" s="1042"/>
      <c r="F68" s="1042"/>
      <c r="G68" s="1042"/>
      <c r="H68" s="1042"/>
      <c r="I68" s="1042"/>
      <c r="J68" s="1042"/>
      <c r="K68" s="1042"/>
      <c r="L68" s="1042"/>
      <c r="M68" s="1042"/>
      <c r="N68" s="1042"/>
      <c r="O68" s="1042"/>
      <c r="P68" s="1042"/>
      <c r="Q68" s="1042"/>
      <c r="R68" s="1042"/>
      <c r="S68" s="1042"/>
      <c r="T68" s="1042"/>
      <c r="U68" s="1042"/>
      <c r="V68" s="1042"/>
      <c r="W68" s="1042"/>
      <c r="X68" s="1042"/>
      <c r="Y68" s="1042"/>
      <c r="Z68" s="1042"/>
      <c r="AA68" s="1042"/>
      <c r="AB68" s="1042"/>
      <c r="AC68" s="1042"/>
      <c r="AD68" s="1042"/>
      <c r="AE68" s="1042"/>
      <c r="AF68" s="1042"/>
      <c r="AG68" s="1042"/>
      <c r="AH68" s="1042"/>
      <c r="AI68" s="1042"/>
      <c r="AJ68" s="1042"/>
      <c r="AK68" s="1042"/>
      <c r="AL68" s="1042"/>
      <c r="AM68" s="1042"/>
      <c r="AN68" s="1042"/>
      <c r="AO68" s="1042"/>
      <c r="AP68" s="1042"/>
      <c r="AQ68" s="1042"/>
      <c r="AR68" s="1042"/>
      <c r="AS68" s="1042"/>
      <c r="AT68" s="1042"/>
    </row>
    <row r="69" spans="1:46" s="1041" customFormat="1" x14ac:dyDescent="0.35">
      <c r="A69" s="1042"/>
      <c r="B69" s="1042"/>
      <c r="C69" s="1042"/>
      <c r="D69" s="1042"/>
      <c r="E69" s="1042"/>
      <c r="F69" s="1042"/>
      <c r="G69" s="1042"/>
      <c r="H69" s="1042"/>
      <c r="I69" s="1042"/>
      <c r="J69" s="1042"/>
      <c r="K69" s="1042"/>
      <c r="L69" s="1042"/>
      <c r="M69" s="1042"/>
      <c r="N69" s="1042"/>
      <c r="O69" s="1042"/>
      <c r="P69" s="1042"/>
      <c r="Q69" s="1042"/>
      <c r="R69" s="1042"/>
      <c r="S69" s="1042"/>
      <c r="T69" s="1042"/>
      <c r="U69" s="1042"/>
      <c r="V69" s="1042"/>
      <c r="W69" s="1042"/>
      <c r="X69" s="1042"/>
      <c r="Y69" s="1042"/>
      <c r="Z69" s="1042"/>
      <c r="AA69" s="1042"/>
      <c r="AB69" s="1042"/>
      <c r="AC69" s="1042"/>
      <c r="AD69" s="1042"/>
      <c r="AE69" s="1042"/>
      <c r="AF69" s="1042"/>
      <c r="AG69" s="1042"/>
      <c r="AH69" s="1042"/>
      <c r="AI69" s="1042"/>
      <c r="AJ69" s="1042"/>
      <c r="AK69" s="1042"/>
      <c r="AL69" s="1042"/>
      <c r="AM69" s="1042"/>
      <c r="AN69" s="1042"/>
      <c r="AO69" s="1042"/>
      <c r="AP69" s="1042"/>
      <c r="AQ69" s="1042"/>
      <c r="AR69" s="1042"/>
      <c r="AS69" s="1042"/>
      <c r="AT69" s="1042"/>
    </row>
    <row r="70" spans="1:46" s="1041" customFormat="1" x14ac:dyDescent="0.35">
      <c r="A70" s="1042"/>
      <c r="B70" s="1042"/>
      <c r="C70" s="1042"/>
      <c r="D70" s="1042"/>
      <c r="E70" s="1042"/>
      <c r="F70" s="1042"/>
      <c r="G70" s="1042"/>
      <c r="H70" s="1042"/>
      <c r="I70" s="1042"/>
      <c r="J70" s="1042"/>
      <c r="K70" s="1042"/>
      <c r="L70" s="1042"/>
      <c r="M70" s="1042"/>
      <c r="N70" s="1042"/>
      <c r="O70" s="1042"/>
      <c r="P70" s="1042"/>
      <c r="Q70" s="1042"/>
      <c r="R70" s="1042"/>
      <c r="S70" s="1042"/>
      <c r="T70" s="1042"/>
      <c r="U70" s="1042"/>
      <c r="V70" s="1042"/>
      <c r="W70" s="1042"/>
      <c r="X70" s="1042"/>
      <c r="Y70" s="1042"/>
      <c r="Z70" s="1042"/>
      <c r="AA70" s="1042"/>
      <c r="AB70" s="1042"/>
      <c r="AC70" s="1042"/>
      <c r="AD70" s="1042"/>
      <c r="AE70" s="1042"/>
      <c r="AF70" s="1042"/>
      <c r="AG70" s="1042"/>
      <c r="AH70" s="1042"/>
      <c r="AI70" s="1042"/>
      <c r="AJ70" s="1042"/>
      <c r="AK70" s="1042"/>
      <c r="AL70" s="1042"/>
      <c r="AM70" s="1042"/>
      <c r="AN70" s="1042"/>
      <c r="AO70" s="1042"/>
      <c r="AP70" s="1042"/>
      <c r="AQ70" s="1042"/>
      <c r="AR70" s="1042"/>
      <c r="AS70" s="1042"/>
      <c r="AT70" s="1042"/>
    </row>
    <row r="71" spans="1:46" s="1041" customFormat="1" x14ac:dyDescent="0.35">
      <c r="A71" s="1042"/>
      <c r="B71" s="1042"/>
      <c r="C71" s="1042"/>
      <c r="D71" s="1042"/>
      <c r="E71" s="1042"/>
      <c r="F71" s="1042"/>
      <c r="G71" s="1042"/>
      <c r="H71" s="1042"/>
      <c r="I71" s="1042"/>
      <c r="J71" s="1042"/>
      <c r="K71" s="1042"/>
      <c r="L71" s="1042"/>
      <c r="M71" s="1042"/>
      <c r="N71" s="1042"/>
      <c r="O71" s="1042"/>
      <c r="P71" s="1042"/>
      <c r="Q71" s="1042"/>
      <c r="R71" s="1042"/>
      <c r="S71" s="1042"/>
      <c r="T71" s="1042"/>
      <c r="U71" s="1042"/>
      <c r="V71" s="1042"/>
      <c r="W71" s="1042"/>
      <c r="X71" s="1042"/>
      <c r="Y71" s="1042"/>
      <c r="Z71" s="1042"/>
      <c r="AA71" s="1042"/>
      <c r="AB71" s="1042"/>
      <c r="AC71" s="1042"/>
      <c r="AD71" s="1042"/>
      <c r="AE71" s="1042"/>
      <c r="AF71" s="1042"/>
      <c r="AG71" s="1042"/>
      <c r="AH71" s="1042"/>
      <c r="AI71" s="1042"/>
      <c r="AJ71" s="1042"/>
      <c r="AK71" s="1042"/>
      <c r="AL71" s="1042"/>
      <c r="AM71" s="1042"/>
      <c r="AN71" s="1042"/>
      <c r="AO71" s="1042"/>
      <c r="AP71" s="1042"/>
      <c r="AQ71" s="1042"/>
      <c r="AR71" s="1042"/>
      <c r="AS71" s="1042"/>
      <c r="AT71" s="1042"/>
    </row>
    <row r="72" spans="1:46" s="1041" customFormat="1" x14ac:dyDescent="0.35">
      <c r="A72" s="1042"/>
      <c r="B72" s="1042"/>
      <c r="C72" s="1042"/>
      <c r="D72" s="1042"/>
      <c r="E72" s="1042"/>
      <c r="F72" s="1042"/>
      <c r="G72" s="1042"/>
      <c r="H72" s="1042"/>
      <c r="I72" s="1042"/>
      <c r="J72" s="1042"/>
      <c r="K72" s="1042"/>
      <c r="L72" s="1042"/>
      <c r="M72" s="1042"/>
      <c r="N72" s="1042"/>
      <c r="O72" s="1042"/>
      <c r="P72" s="1042"/>
      <c r="Q72" s="1042"/>
      <c r="R72" s="1042"/>
      <c r="S72" s="1042"/>
      <c r="T72" s="1042"/>
      <c r="U72" s="1042"/>
      <c r="V72" s="1042"/>
      <c r="W72" s="1042"/>
      <c r="X72" s="1042"/>
      <c r="Y72" s="1042"/>
      <c r="Z72" s="1042"/>
      <c r="AA72" s="1042"/>
      <c r="AB72" s="1042"/>
      <c r="AC72" s="1042"/>
      <c r="AD72" s="1042"/>
      <c r="AE72" s="1042"/>
      <c r="AF72" s="1042"/>
      <c r="AG72" s="1042"/>
      <c r="AH72" s="1042"/>
      <c r="AI72" s="1042"/>
      <c r="AJ72" s="1042"/>
      <c r="AK72" s="1042"/>
      <c r="AL72" s="1042"/>
      <c r="AM72" s="1042"/>
      <c r="AN72" s="1042"/>
      <c r="AO72" s="1042"/>
      <c r="AP72" s="1042"/>
      <c r="AQ72" s="1042"/>
      <c r="AR72" s="1042"/>
      <c r="AS72" s="1042"/>
      <c r="AT72" s="1042"/>
    </row>
    <row r="73" spans="1:46" s="1041" customFormat="1" x14ac:dyDescent="0.35">
      <c r="A73" s="1042"/>
      <c r="B73" s="1042"/>
      <c r="C73" s="1042"/>
      <c r="D73" s="1042"/>
      <c r="E73" s="1042"/>
      <c r="F73" s="1042"/>
      <c r="G73" s="1042"/>
      <c r="H73" s="1042"/>
      <c r="I73" s="1042"/>
      <c r="J73" s="1042"/>
      <c r="K73" s="1042"/>
      <c r="L73" s="1042"/>
      <c r="M73" s="1042"/>
      <c r="N73" s="1042"/>
      <c r="O73" s="1042"/>
      <c r="P73" s="1042"/>
      <c r="Q73" s="1042"/>
      <c r="R73" s="1042"/>
      <c r="S73" s="1042"/>
      <c r="T73" s="1042"/>
      <c r="U73" s="1042"/>
      <c r="V73" s="1042"/>
      <c r="W73" s="1042"/>
      <c r="X73" s="1042"/>
      <c r="Y73" s="1042"/>
      <c r="Z73" s="1042"/>
      <c r="AA73" s="1042"/>
      <c r="AB73" s="1042"/>
      <c r="AC73" s="1042"/>
      <c r="AD73" s="1042"/>
      <c r="AE73" s="1042"/>
      <c r="AF73" s="1042"/>
      <c r="AG73" s="1042"/>
      <c r="AH73" s="1042"/>
      <c r="AI73" s="1042"/>
      <c r="AJ73" s="1042"/>
      <c r="AK73" s="1042"/>
      <c r="AL73" s="1042"/>
      <c r="AM73" s="1042"/>
      <c r="AN73" s="1042"/>
      <c r="AO73" s="1042"/>
      <c r="AP73" s="1042"/>
      <c r="AQ73" s="1042"/>
      <c r="AR73" s="1042"/>
      <c r="AS73" s="1042"/>
      <c r="AT73" s="1042"/>
    </row>
    <row r="74" spans="1:46" s="1041" customFormat="1" x14ac:dyDescent="0.35">
      <c r="A74" s="1042"/>
      <c r="B74" s="1042"/>
      <c r="C74" s="1042"/>
      <c r="D74" s="1042"/>
      <c r="E74" s="1042"/>
      <c r="F74" s="1042"/>
      <c r="G74" s="1042"/>
      <c r="H74" s="1042"/>
      <c r="I74" s="1042"/>
      <c r="J74" s="1042"/>
      <c r="K74" s="1042"/>
      <c r="L74" s="1042"/>
      <c r="M74" s="1042"/>
      <c r="N74" s="1042"/>
      <c r="O74" s="1042"/>
      <c r="P74" s="1042"/>
      <c r="Q74" s="1042"/>
      <c r="R74" s="1042"/>
      <c r="S74" s="1042"/>
      <c r="T74" s="1042"/>
      <c r="U74" s="1042"/>
      <c r="V74" s="1042"/>
      <c r="W74" s="1042"/>
      <c r="X74" s="1042"/>
      <c r="Y74" s="1042"/>
      <c r="Z74" s="1042"/>
      <c r="AA74" s="1042"/>
      <c r="AB74" s="1042"/>
      <c r="AC74" s="1042"/>
      <c r="AD74" s="1042"/>
      <c r="AE74" s="1042"/>
      <c r="AF74" s="1042"/>
      <c r="AG74" s="1042"/>
      <c r="AH74" s="1042"/>
      <c r="AI74" s="1042"/>
      <c r="AJ74" s="1042"/>
      <c r="AK74" s="1042"/>
      <c r="AL74" s="1042"/>
      <c r="AM74" s="1042"/>
      <c r="AN74" s="1042"/>
      <c r="AO74" s="1042"/>
      <c r="AP74" s="1042"/>
      <c r="AQ74" s="1042"/>
      <c r="AR74" s="1042"/>
      <c r="AS74" s="1042"/>
      <c r="AT74" s="1042"/>
    </row>
    <row r="75" spans="1:46" s="1041" customFormat="1" x14ac:dyDescent="0.35">
      <c r="A75" s="1042"/>
      <c r="B75" s="1042"/>
      <c r="C75" s="1042"/>
      <c r="D75" s="1042"/>
      <c r="E75" s="1042"/>
      <c r="F75" s="1042"/>
      <c r="G75" s="1042"/>
      <c r="H75" s="1042"/>
      <c r="I75" s="1042"/>
      <c r="J75" s="1042"/>
      <c r="K75" s="1042"/>
      <c r="L75" s="1042"/>
      <c r="M75" s="1042"/>
      <c r="N75" s="1042"/>
      <c r="O75" s="1042"/>
      <c r="P75" s="1042"/>
      <c r="Q75" s="1042"/>
      <c r="R75" s="1042"/>
      <c r="S75" s="1042"/>
      <c r="T75" s="1042"/>
      <c r="U75" s="1042"/>
      <c r="V75" s="1042"/>
      <c r="W75" s="1042"/>
      <c r="X75" s="1042"/>
      <c r="Y75" s="1042"/>
      <c r="Z75" s="1042"/>
      <c r="AA75" s="1042"/>
      <c r="AB75" s="1042"/>
      <c r="AC75" s="1042"/>
      <c r="AD75" s="1042"/>
      <c r="AE75" s="1042"/>
      <c r="AF75" s="1042"/>
      <c r="AG75" s="1042"/>
      <c r="AH75" s="1042"/>
      <c r="AI75" s="1042"/>
      <c r="AJ75" s="1042"/>
      <c r="AK75" s="1042"/>
      <c r="AL75" s="1042"/>
      <c r="AM75" s="1042"/>
      <c r="AN75" s="1042"/>
      <c r="AO75" s="1042"/>
      <c r="AP75" s="1042"/>
      <c r="AQ75" s="1042"/>
      <c r="AR75" s="1042"/>
      <c r="AS75" s="1042"/>
      <c r="AT75" s="1042"/>
    </row>
    <row r="76" spans="1:46" s="1041" customFormat="1" x14ac:dyDescent="0.35">
      <c r="A76" s="1042"/>
      <c r="B76" s="1042"/>
      <c r="C76" s="1042"/>
      <c r="D76" s="1042"/>
      <c r="E76" s="1042"/>
      <c r="F76" s="1042"/>
      <c r="G76" s="1042"/>
      <c r="H76" s="1042"/>
      <c r="I76" s="1042"/>
      <c r="J76" s="1042"/>
      <c r="K76" s="1042"/>
      <c r="L76" s="1042"/>
      <c r="M76" s="1042"/>
      <c r="N76" s="1042"/>
      <c r="O76" s="1042"/>
      <c r="P76" s="1042"/>
      <c r="Q76" s="1042"/>
      <c r="R76" s="1042"/>
      <c r="S76" s="1042"/>
      <c r="T76" s="1042"/>
      <c r="U76" s="1042"/>
      <c r="V76" s="1042"/>
      <c r="W76" s="1042"/>
      <c r="X76" s="1042"/>
      <c r="Y76" s="1042"/>
      <c r="Z76" s="1042"/>
      <c r="AA76" s="1042"/>
      <c r="AB76" s="1042"/>
      <c r="AC76" s="1042"/>
      <c r="AD76" s="1042"/>
      <c r="AE76" s="1042"/>
      <c r="AF76" s="1042"/>
      <c r="AG76" s="1042"/>
      <c r="AH76" s="1042"/>
      <c r="AI76" s="1042"/>
      <c r="AJ76" s="1042"/>
      <c r="AK76" s="1042"/>
      <c r="AL76" s="1042"/>
      <c r="AM76" s="1042"/>
      <c r="AN76" s="1042"/>
      <c r="AO76" s="1042"/>
      <c r="AP76" s="1042"/>
      <c r="AQ76" s="1042"/>
      <c r="AR76" s="1042"/>
      <c r="AS76" s="1042"/>
      <c r="AT76" s="1042"/>
    </row>
    <row r="77" spans="1:46" s="1041" customFormat="1" x14ac:dyDescent="0.35">
      <c r="A77" s="1042"/>
      <c r="B77" s="1042"/>
      <c r="C77" s="1042"/>
      <c r="D77" s="1042"/>
      <c r="E77" s="1042"/>
      <c r="F77" s="1042"/>
      <c r="G77" s="1042"/>
      <c r="H77" s="1042"/>
      <c r="I77" s="1042"/>
      <c r="J77" s="1042"/>
      <c r="K77" s="1042"/>
      <c r="L77" s="1042"/>
      <c r="M77" s="1042"/>
      <c r="N77" s="1042"/>
      <c r="O77" s="1042"/>
      <c r="P77" s="1042"/>
      <c r="Q77" s="1042"/>
      <c r="R77" s="1042"/>
      <c r="S77" s="1042"/>
      <c r="T77" s="1042"/>
      <c r="U77" s="1042"/>
      <c r="V77" s="1042"/>
      <c r="W77" s="1042"/>
      <c r="X77" s="1042"/>
      <c r="Y77" s="1042"/>
      <c r="Z77" s="1042"/>
      <c r="AA77" s="1042"/>
      <c r="AB77" s="1042"/>
      <c r="AC77" s="1042"/>
      <c r="AD77" s="1042"/>
      <c r="AE77" s="1042"/>
      <c r="AF77" s="1042"/>
      <c r="AG77" s="1042"/>
      <c r="AH77" s="1042"/>
      <c r="AI77" s="1042"/>
      <c r="AJ77" s="1042"/>
      <c r="AK77" s="1042"/>
      <c r="AL77" s="1042"/>
      <c r="AM77" s="1042"/>
      <c r="AN77" s="1042"/>
      <c r="AO77" s="1042"/>
      <c r="AP77" s="1042"/>
      <c r="AQ77" s="1042"/>
      <c r="AR77" s="1042"/>
      <c r="AS77" s="1042"/>
      <c r="AT77" s="1042"/>
    </row>
    <row r="78" spans="1:46" s="1041" customFormat="1" x14ac:dyDescent="0.35">
      <c r="A78" s="1042"/>
      <c r="B78" s="1042"/>
      <c r="C78" s="1042"/>
      <c r="D78" s="1042"/>
      <c r="E78" s="1042"/>
      <c r="F78" s="1042"/>
      <c r="G78" s="1042"/>
      <c r="H78" s="1042"/>
      <c r="I78" s="1042"/>
      <c r="J78" s="1042"/>
      <c r="K78" s="1042"/>
      <c r="L78" s="1042"/>
      <c r="M78" s="1042"/>
      <c r="N78" s="1042"/>
      <c r="O78" s="1042"/>
      <c r="P78" s="1042"/>
      <c r="Q78" s="1042"/>
      <c r="R78" s="1042"/>
      <c r="S78" s="1042"/>
      <c r="T78" s="1042"/>
      <c r="U78" s="1042"/>
      <c r="V78" s="1042"/>
      <c r="W78" s="1042"/>
      <c r="X78" s="1042"/>
      <c r="Y78" s="1042"/>
      <c r="Z78" s="1042"/>
      <c r="AA78" s="1042"/>
      <c r="AB78" s="1042"/>
      <c r="AC78" s="1042"/>
      <c r="AD78" s="1042"/>
      <c r="AE78" s="1042"/>
      <c r="AF78" s="1042"/>
      <c r="AG78" s="1042"/>
      <c r="AH78" s="1042"/>
      <c r="AI78" s="1042"/>
      <c r="AJ78" s="1042"/>
      <c r="AK78" s="1042"/>
      <c r="AL78" s="1042"/>
      <c r="AM78" s="1042"/>
      <c r="AN78" s="1042"/>
      <c r="AO78" s="1042"/>
      <c r="AP78" s="1042"/>
      <c r="AQ78" s="1042"/>
      <c r="AR78" s="1042"/>
      <c r="AS78" s="1042"/>
      <c r="AT78" s="1042"/>
    </row>
    <row r="79" spans="1:46" s="1041" customFormat="1" x14ac:dyDescent="0.35">
      <c r="A79" s="1042"/>
      <c r="B79" s="1042"/>
      <c r="C79" s="1042"/>
      <c r="D79" s="1042"/>
      <c r="E79" s="1042"/>
      <c r="F79" s="1042"/>
      <c r="G79" s="1042"/>
      <c r="H79" s="1042"/>
      <c r="I79" s="1042"/>
      <c r="J79" s="1042"/>
      <c r="K79" s="1042"/>
      <c r="L79" s="1042"/>
      <c r="M79" s="1042"/>
      <c r="N79" s="1042"/>
      <c r="O79" s="1042"/>
      <c r="P79" s="1042"/>
      <c r="Q79" s="1042"/>
      <c r="R79" s="1042"/>
      <c r="S79" s="1042"/>
      <c r="T79" s="1042"/>
      <c r="U79" s="1042"/>
      <c r="V79" s="1042"/>
      <c r="W79" s="1042"/>
      <c r="X79" s="1042"/>
      <c r="Y79" s="1042"/>
      <c r="Z79" s="1042"/>
      <c r="AA79" s="1042"/>
      <c r="AB79" s="1042"/>
      <c r="AC79" s="1042"/>
      <c r="AD79" s="1042"/>
      <c r="AE79" s="1042"/>
      <c r="AF79" s="1042"/>
      <c r="AG79" s="1042"/>
      <c r="AH79" s="1042"/>
      <c r="AI79" s="1042"/>
      <c r="AJ79" s="1042"/>
      <c r="AK79" s="1042"/>
      <c r="AL79" s="1042"/>
      <c r="AM79" s="1042"/>
      <c r="AN79" s="1042"/>
      <c r="AO79" s="1042"/>
      <c r="AP79" s="1042"/>
      <c r="AQ79" s="1042"/>
      <c r="AR79" s="1042"/>
      <c r="AS79" s="1042"/>
      <c r="AT79" s="1042"/>
    </row>
    <row r="80" spans="1:46" s="1041" customFormat="1" x14ac:dyDescent="0.35">
      <c r="A80" s="1042"/>
      <c r="B80" s="1042"/>
      <c r="C80" s="1042"/>
      <c r="D80" s="1042"/>
      <c r="E80" s="1042"/>
      <c r="F80" s="1042"/>
      <c r="G80" s="1042"/>
      <c r="H80" s="1042"/>
      <c r="I80" s="1042"/>
      <c r="J80" s="1042"/>
      <c r="K80" s="1042"/>
      <c r="L80" s="1042"/>
      <c r="M80" s="1042"/>
      <c r="N80" s="1042"/>
      <c r="O80" s="1042"/>
      <c r="P80" s="1042"/>
      <c r="Q80" s="1042"/>
      <c r="R80" s="1042"/>
      <c r="S80" s="1042"/>
      <c r="T80" s="1042"/>
      <c r="U80" s="1042"/>
      <c r="V80" s="1042"/>
      <c r="W80" s="1042"/>
      <c r="X80" s="1042"/>
      <c r="Y80" s="1042"/>
      <c r="Z80" s="1042"/>
      <c r="AA80" s="1042"/>
      <c r="AB80" s="1042"/>
      <c r="AC80" s="1042"/>
      <c r="AD80" s="1042"/>
      <c r="AE80" s="1042"/>
      <c r="AF80" s="1042"/>
      <c r="AG80" s="1042"/>
      <c r="AH80" s="1042"/>
      <c r="AI80" s="1042"/>
      <c r="AJ80" s="1042"/>
      <c r="AK80" s="1042"/>
      <c r="AL80" s="1042"/>
      <c r="AM80" s="1042"/>
      <c r="AN80" s="1042"/>
      <c r="AO80" s="1042"/>
      <c r="AP80" s="1042"/>
      <c r="AQ80" s="1042"/>
      <c r="AR80" s="1042"/>
      <c r="AS80" s="1042"/>
      <c r="AT80" s="1042"/>
    </row>
    <row r="81" spans="1:46" s="1041" customFormat="1" x14ac:dyDescent="0.35">
      <c r="A81" s="1042"/>
      <c r="B81" s="1042"/>
      <c r="C81" s="1042"/>
      <c r="D81" s="1042"/>
      <c r="E81" s="1042"/>
      <c r="F81" s="1042"/>
      <c r="G81" s="1042"/>
      <c r="H81" s="1042"/>
      <c r="I81" s="1042"/>
      <c r="J81" s="1042"/>
      <c r="K81" s="1042"/>
      <c r="L81" s="1042"/>
      <c r="M81" s="1042"/>
      <c r="N81" s="1042"/>
      <c r="O81" s="1042"/>
      <c r="P81" s="1042"/>
      <c r="Q81" s="1042"/>
      <c r="R81" s="1042"/>
      <c r="S81" s="1042"/>
      <c r="T81" s="1042"/>
      <c r="U81" s="1042"/>
      <c r="V81" s="1042"/>
      <c r="W81" s="1042"/>
      <c r="X81" s="1042"/>
      <c r="Y81" s="1042"/>
      <c r="Z81" s="1042"/>
      <c r="AA81" s="1042"/>
      <c r="AB81" s="1042"/>
      <c r="AC81" s="1042"/>
      <c r="AD81" s="1042"/>
      <c r="AE81" s="1042"/>
      <c r="AF81" s="1042"/>
      <c r="AG81" s="1042"/>
      <c r="AH81" s="1042"/>
      <c r="AI81" s="1042"/>
      <c r="AJ81" s="1042"/>
      <c r="AK81" s="1042"/>
      <c r="AL81" s="1042"/>
      <c r="AM81" s="1042"/>
      <c r="AN81" s="1042"/>
      <c r="AO81" s="1042"/>
      <c r="AP81" s="1042"/>
      <c r="AQ81" s="1042"/>
      <c r="AR81" s="1042"/>
      <c r="AS81" s="1042"/>
      <c r="AT81" s="1042"/>
    </row>
    <row r="82" spans="1:46" s="1041" customFormat="1" x14ac:dyDescent="0.35">
      <c r="A82" s="1042"/>
      <c r="B82" s="1042"/>
      <c r="C82" s="1042"/>
      <c r="D82" s="1042"/>
      <c r="E82" s="1042"/>
      <c r="F82" s="1042"/>
      <c r="G82" s="1042"/>
      <c r="H82" s="1042"/>
      <c r="I82" s="1042"/>
      <c r="J82" s="1042"/>
      <c r="K82" s="1042"/>
      <c r="L82" s="1042"/>
      <c r="M82" s="1042"/>
      <c r="N82" s="1042"/>
      <c r="O82" s="1042"/>
      <c r="P82" s="1042"/>
      <c r="Q82" s="1042"/>
      <c r="R82" s="1042"/>
      <c r="S82" s="1042"/>
      <c r="T82" s="1042"/>
      <c r="U82" s="1042"/>
      <c r="V82" s="1042"/>
      <c r="W82" s="1042"/>
      <c r="X82" s="1042"/>
      <c r="Y82" s="1042"/>
      <c r="Z82" s="1042"/>
      <c r="AA82" s="1042"/>
      <c r="AB82" s="1042"/>
      <c r="AC82" s="1042"/>
      <c r="AD82" s="1042"/>
      <c r="AE82" s="1042"/>
      <c r="AF82" s="1042"/>
      <c r="AG82" s="1042"/>
      <c r="AH82" s="1042"/>
      <c r="AI82" s="1042"/>
      <c r="AJ82" s="1042"/>
      <c r="AK82" s="1042"/>
      <c r="AL82" s="1042"/>
      <c r="AM82" s="1042"/>
      <c r="AN82" s="1042"/>
      <c r="AO82" s="1042"/>
      <c r="AP82" s="1042"/>
      <c r="AQ82" s="1042"/>
      <c r="AR82" s="1042"/>
      <c r="AS82" s="1042"/>
      <c r="AT82" s="1042"/>
    </row>
    <row r="83" spans="1:46" s="1041" customFormat="1" x14ac:dyDescent="0.35">
      <c r="A83" s="1042"/>
      <c r="B83" s="1042"/>
      <c r="C83" s="1042"/>
      <c r="D83" s="1042"/>
      <c r="E83" s="1042"/>
      <c r="F83" s="1042"/>
      <c r="G83" s="1042"/>
      <c r="H83" s="1042"/>
      <c r="I83" s="1042"/>
      <c r="J83" s="1042"/>
      <c r="K83" s="1042"/>
      <c r="L83" s="1042"/>
      <c r="M83" s="1042"/>
      <c r="N83" s="1042"/>
      <c r="O83" s="1042"/>
      <c r="P83" s="1042"/>
      <c r="Q83" s="1042"/>
      <c r="R83" s="1042"/>
      <c r="S83" s="1042"/>
      <c r="T83" s="1042"/>
      <c r="U83" s="1042"/>
      <c r="V83" s="1042"/>
      <c r="W83" s="1042"/>
      <c r="X83" s="1042"/>
      <c r="Y83" s="1042"/>
      <c r="Z83" s="1042"/>
      <c r="AA83" s="1042"/>
      <c r="AB83" s="1042"/>
      <c r="AC83" s="1042"/>
      <c r="AD83" s="1042"/>
      <c r="AE83" s="1042"/>
      <c r="AF83" s="1042"/>
      <c r="AG83" s="1042"/>
      <c r="AH83" s="1042"/>
      <c r="AI83" s="1042"/>
      <c r="AJ83" s="1042"/>
      <c r="AK83" s="1042"/>
      <c r="AL83" s="1042"/>
      <c r="AM83" s="1042"/>
      <c r="AN83" s="1042"/>
      <c r="AO83" s="1042"/>
      <c r="AP83" s="1042"/>
      <c r="AQ83" s="1042"/>
      <c r="AR83" s="1042"/>
      <c r="AS83" s="1042"/>
      <c r="AT83" s="1042"/>
    </row>
    <row r="84" spans="1:46" s="1041" customFormat="1" x14ac:dyDescent="0.35">
      <c r="A84" s="1042"/>
      <c r="B84" s="1042"/>
      <c r="C84" s="1042"/>
      <c r="D84" s="1042"/>
      <c r="E84" s="1042"/>
      <c r="F84" s="1042"/>
      <c r="G84" s="1042"/>
      <c r="H84" s="1042"/>
      <c r="I84" s="1042"/>
      <c r="J84" s="1042"/>
      <c r="K84" s="1042"/>
      <c r="L84" s="1042"/>
      <c r="M84" s="1042"/>
      <c r="N84" s="1042"/>
      <c r="O84" s="1042"/>
      <c r="P84" s="1042"/>
      <c r="Q84" s="1042"/>
      <c r="R84" s="1042"/>
      <c r="S84" s="1042"/>
      <c r="T84" s="1042"/>
      <c r="U84" s="1042"/>
      <c r="V84" s="1042"/>
      <c r="W84" s="1042"/>
      <c r="X84" s="1042"/>
      <c r="Y84" s="1042"/>
      <c r="Z84" s="1042"/>
      <c r="AA84" s="1042"/>
      <c r="AB84" s="1042"/>
      <c r="AC84" s="1042"/>
      <c r="AD84" s="1042"/>
      <c r="AE84" s="1042"/>
      <c r="AF84" s="1042"/>
      <c r="AG84" s="1042"/>
      <c r="AH84" s="1042"/>
      <c r="AI84" s="1042"/>
      <c r="AJ84" s="1042"/>
      <c r="AK84" s="1042"/>
      <c r="AL84" s="1042"/>
      <c r="AM84" s="1042"/>
      <c r="AN84" s="1042"/>
      <c r="AO84" s="1042"/>
      <c r="AP84" s="1042"/>
      <c r="AQ84" s="1042"/>
      <c r="AR84" s="1042"/>
      <c r="AS84" s="1042"/>
      <c r="AT84" s="1042"/>
    </row>
    <row r="85" spans="1:46" s="1041" customFormat="1" x14ac:dyDescent="0.35">
      <c r="A85" s="1042"/>
      <c r="B85" s="1042"/>
      <c r="C85" s="1042"/>
      <c r="D85" s="1042"/>
      <c r="E85" s="1042"/>
      <c r="F85" s="1042"/>
      <c r="G85" s="1042"/>
      <c r="H85" s="1042"/>
      <c r="I85" s="1042"/>
      <c r="J85" s="1042"/>
      <c r="K85" s="1042"/>
      <c r="L85" s="1042"/>
      <c r="M85" s="1042"/>
      <c r="N85" s="1042"/>
      <c r="O85" s="1042"/>
      <c r="P85" s="1042"/>
      <c r="Q85" s="1042"/>
      <c r="R85" s="1042"/>
      <c r="S85" s="1042"/>
      <c r="T85" s="1042"/>
      <c r="U85" s="1042"/>
      <c r="V85" s="1042"/>
      <c r="W85" s="1042"/>
      <c r="X85" s="1042"/>
      <c r="Y85" s="1042"/>
      <c r="Z85" s="1042"/>
      <c r="AA85" s="1042"/>
      <c r="AB85" s="1042"/>
      <c r="AC85" s="1042"/>
      <c r="AD85" s="1042"/>
      <c r="AE85" s="1042"/>
      <c r="AF85" s="1042"/>
      <c r="AG85" s="1042"/>
      <c r="AH85" s="1042"/>
      <c r="AI85" s="1042"/>
      <c r="AJ85" s="1042"/>
      <c r="AK85" s="1042"/>
      <c r="AL85" s="1042"/>
      <c r="AM85" s="1042"/>
      <c r="AN85" s="1042"/>
      <c r="AO85" s="1042"/>
      <c r="AP85" s="1042"/>
      <c r="AQ85" s="1042"/>
      <c r="AR85" s="1042"/>
      <c r="AS85" s="1042"/>
      <c r="AT85" s="1042"/>
    </row>
    <row r="86" spans="1:46" s="1041" customFormat="1" x14ac:dyDescent="0.35">
      <c r="A86" s="1042"/>
      <c r="B86" s="1042"/>
      <c r="C86" s="1042"/>
      <c r="D86" s="1042"/>
      <c r="E86" s="1042"/>
      <c r="F86" s="1042"/>
      <c r="G86" s="1042"/>
      <c r="H86" s="1042"/>
      <c r="I86" s="1042"/>
      <c r="J86" s="1042"/>
      <c r="K86" s="1042"/>
      <c r="L86" s="1042"/>
      <c r="M86" s="1042"/>
      <c r="N86" s="1042"/>
      <c r="O86" s="1042"/>
      <c r="P86" s="1042"/>
      <c r="Q86" s="1042"/>
      <c r="R86" s="1042"/>
      <c r="S86" s="1042"/>
      <c r="T86" s="1042"/>
      <c r="U86" s="1042"/>
      <c r="V86" s="1042"/>
      <c r="W86" s="1042"/>
      <c r="X86" s="1042"/>
      <c r="Y86" s="1042"/>
      <c r="Z86" s="1042"/>
      <c r="AA86" s="1042"/>
      <c r="AB86" s="1042"/>
      <c r="AC86" s="1042"/>
      <c r="AD86" s="1042"/>
      <c r="AE86" s="1042"/>
      <c r="AF86" s="1042"/>
      <c r="AG86" s="1042"/>
      <c r="AH86" s="1042"/>
      <c r="AI86" s="1042"/>
      <c r="AJ86" s="1042"/>
      <c r="AK86" s="1042"/>
      <c r="AL86" s="1042"/>
      <c r="AM86" s="1042"/>
      <c r="AN86" s="1042"/>
      <c r="AO86" s="1042"/>
      <c r="AP86" s="1042"/>
      <c r="AQ86" s="1042"/>
      <c r="AR86" s="1042"/>
      <c r="AS86" s="1042"/>
      <c r="AT86" s="1042"/>
    </row>
    <row r="87" spans="1:46" s="1041" customFormat="1" x14ac:dyDescent="0.35">
      <c r="A87" s="1042"/>
      <c r="B87" s="1042"/>
      <c r="C87" s="1042"/>
      <c r="D87" s="1042"/>
      <c r="E87" s="1042"/>
      <c r="F87" s="1042"/>
      <c r="G87" s="1042"/>
      <c r="H87" s="1042"/>
      <c r="I87" s="1042"/>
      <c r="J87" s="1042"/>
      <c r="K87" s="1042"/>
      <c r="L87" s="1042"/>
      <c r="M87" s="1042"/>
      <c r="N87" s="1042"/>
      <c r="O87" s="1042"/>
      <c r="P87" s="1042"/>
      <c r="Q87" s="1042"/>
      <c r="R87" s="1042"/>
      <c r="S87" s="1042"/>
      <c r="T87" s="1042"/>
      <c r="U87" s="1042"/>
      <c r="V87" s="1042"/>
      <c r="W87" s="1042"/>
      <c r="X87" s="1042"/>
      <c r="Y87" s="1042"/>
      <c r="Z87" s="1042"/>
      <c r="AA87" s="1042"/>
      <c r="AB87" s="1042"/>
      <c r="AC87" s="1042"/>
      <c r="AD87" s="1042"/>
      <c r="AE87" s="1042"/>
      <c r="AF87" s="1042"/>
      <c r="AG87" s="1042"/>
      <c r="AH87" s="1042"/>
      <c r="AI87" s="1042"/>
      <c r="AJ87" s="1042"/>
      <c r="AK87" s="1042"/>
      <c r="AL87" s="1042"/>
      <c r="AM87" s="1042"/>
      <c r="AN87" s="1042"/>
      <c r="AO87" s="1042"/>
      <c r="AP87" s="1042"/>
      <c r="AQ87" s="1042"/>
      <c r="AR87" s="1042"/>
      <c r="AS87" s="1042"/>
      <c r="AT87" s="1042"/>
    </row>
    <row r="88" spans="1:46" s="1041" customFormat="1" x14ac:dyDescent="0.35">
      <c r="A88" s="1042"/>
      <c r="B88" s="1042"/>
      <c r="C88" s="1042"/>
      <c r="D88" s="1042"/>
      <c r="E88" s="1042"/>
      <c r="F88" s="1042"/>
      <c r="G88" s="1042"/>
      <c r="H88" s="1042"/>
      <c r="I88" s="1042"/>
      <c r="J88" s="1042"/>
      <c r="K88" s="1042"/>
      <c r="L88" s="1042"/>
      <c r="M88" s="1042"/>
      <c r="N88" s="1042"/>
      <c r="O88" s="1042"/>
      <c r="P88" s="1042"/>
      <c r="Q88" s="1042"/>
      <c r="R88" s="1042"/>
      <c r="S88" s="1042"/>
      <c r="T88" s="1042"/>
      <c r="U88" s="1042"/>
      <c r="V88" s="1042"/>
      <c r="W88" s="1042"/>
      <c r="X88" s="1042"/>
      <c r="Y88" s="1042"/>
      <c r="Z88" s="1042"/>
      <c r="AA88" s="1042"/>
      <c r="AB88" s="1042"/>
      <c r="AC88" s="1042"/>
      <c r="AD88" s="1042"/>
      <c r="AE88" s="1042"/>
      <c r="AF88" s="1042"/>
      <c r="AG88" s="1042"/>
      <c r="AH88" s="1042"/>
      <c r="AI88" s="1042"/>
      <c r="AJ88" s="1042"/>
      <c r="AK88" s="1042"/>
      <c r="AL88" s="1042"/>
      <c r="AM88" s="1042"/>
      <c r="AN88" s="1042"/>
      <c r="AO88" s="1042"/>
      <c r="AP88" s="1042"/>
      <c r="AQ88" s="1042"/>
      <c r="AR88" s="1042"/>
      <c r="AS88" s="1042"/>
      <c r="AT88" s="1042"/>
    </row>
    <row r="89" spans="1:46" s="1041" customFormat="1" x14ac:dyDescent="0.35">
      <c r="A89" s="1042"/>
      <c r="B89" s="1042"/>
      <c r="C89" s="1042"/>
      <c r="D89" s="1042"/>
      <c r="E89" s="1042"/>
      <c r="F89" s="1042"/>
      <c r="G89" s="1042"/>
      <c r="H89" s="1042"/>
      <c r="I89" s="1042"/>
      <c r="J89" s="1042"/>
      <c r="K89" s="1042"/>
      <c r="L89" s="1042"/>
      <c r="M89" s="1042"/>
      <c r="N89" s="1042"/>
      <c r="O89" s="1042"/>
      <c r="P89" s="1042"/>
      <c r="Q89" s="1042"/>
      <c r="R89" s="1042"/>
      <c r="S89" s="1042"/>
      <c r="T89" s="1042"/>
      <c r="U89" s="1042"/>
      <c r="V89" s="1042"/>
      <c r="W89" s="1042"/>
      <c r="X89" s="1042"/>
      <c r="Y89" s="1042"/>
      <c r="Z89" s="1042"/>
      <c r="AA89" s="1042"/>
      <c r="AB89" s="1042"/>
      <c r="AC89" s="1042"/>
      <c r="AD89" s="1042"/>
      <c r="AE89" s="1042"/>
      <c r="AF89" s="1042"/>
      <c r="AG89" s="1042"/>
      <c r="AH89" s="1042"/>
      <c r="AI89" s="1042"/>
      <c r="AJ89" s="1042"/>
      <c r="AK89" s="1042"/>
      <c r="AL89" s="1042"/>
      <c r="AM89" s="1042"/>
      <c r="AN89" s="1042"/>
      <c r="AO89" s="1042"/>
      <c r="AP89" s="1042"/>
      <c r="AQ89" s="1042"/>
      <c r="AR89" s="1042"/>
      <c r="AS89" s="1042"/>
      <c r="AT89" s="1042"/>
    </row>
    <row r="90" spans="1:46" s="1041" customFormat="1" x14ac:dyDescent="0.35">
      <c r="A90" s="1042"/>
      <c r="B90" s="1042"/>
      <c r="C90" s="1042"/>
      <c r="D90" s="1042"/>
      <c r="E90" s="1042"/>
      <c r="F90" s="1042"/>
      <c r="G90" s="1042"/>
      <c r="H90" s="1042"/>
      <c r="I90" s="1042"/>
      <c r="J90" s="1042"/>
      <c r="K90" s="1042"/>
      <c r="L90" s="1042"/>
      <c r="M90" s="1042"/>
      <c r="N90" s="1042"/>
      <c r="O90" s="1042"/>
      <c r="P90" s="1042"/>
      <c r="Q90" s="1042"/>
      <c r="R90" s="1042"/>
      <c r="S90" s="1042"/>
      <c r="T90" s="1042"/>
      <c r="U90" s="1042"/>
      <c r="V90" s="1042"/>
      <c r="W90" s="1042"/>
      <c r="X90" s="1042"/>
      <c r="Y90" s="1042"/>
      <c r="Z90" s="1042"/>
      <c r="AA90" s="1042"/>
      <c r="AB90" s="1042"/>
      <c r="AC90" s="1042"/>
      <c r="AD90" s="1042"/>
      <c r="AE90" s="1042"/>
      <c r="AF90" s="1042"/>
      <c r="AG90" s="1042"/>
      <c r="AH90" s="1042"/>
      <c r="AI90" s="1042"/>
      <c r="AJ90" s="1042"/>
      <c r="AK90" s="1042"/>
      <c r="AL90" s="1042"/>
      <c r="AM90" s="1042"/>
      <c r="AN90" s="1042"/>
      <c r="AO90" s="1042"/>
      <c r="AP90" s="1042"/>
      <c r="AQ90" s="1042"/>
      <c r="AR90" s="1042"/>
      <c r="AS90" s="1042"/>
      <c r="AT90" s="1042"/>
    </row>
    <row r="91" spans="1:46" s="1041" customFormat="1" x14ac:dyDescent="0.35">
      <c r="A91" s="1042"/>
      <c r="B91" s="1042"/>
      <c r="C91" s="1042"/>
      <c r="D91" s="1042"/>
      <c r="E91" s="1042"/>
      <c r="F91" s="1042"/>
      <c r="G91" s="1042"/>
      <c r="H91" s="1042"/>
      <c r="I91" s="1042"/>
      <c r="J91" s="1042"/>
      <c r="K91" s="1042"/>
      <c r="L91" s="1042"/>
      <c r="M91" s="1042"/>
      <c r="N91" s="1042"/>
      <c r="O91" s="1042"/>
      <c r="P91" s="1042"/>
      <c r="Q91" s="1042"/>
      <c r="R91" s="1042"/>
      <c r="S91" s="1042"/>
      <c r="T91" s="1042"/>
      <c r="U91" s="1042"/>
      <c r="V91" s="1042"/>
      <c r="W91" s="1042"/>
      <c r="X91" s="1042"/>
      <c r="Y91" s="1042"/>
      <c r="Z91" s="1042"/>
      <c r="AA91" s="1042"/>
      <c r="AB91" s="1042"/>
      <c r="AC91" s="1042"/>
      <c r="AD91" s="1042"/>
      <c r="AE91" s="1042"/>
      <c r="AF91" s="1042"/>
      <c r="AG91" s="1042"/>
      <c r="AH91" s="1042"/>
      <c r="AI91" s="1042"/>
      <c r="AJ91" s="1042"/>
      <c r="AK91" s="1042"/>
      <c r="AL91" s="1042"/>
      <c r="AM91" s="1042"/>
      <c r="AN91" s="1042"/>
      <c r="AO91" s="1042"/>
      <c r="AP91" s="1042"/>
      <c r="AQ91" s="1042"/>
      <c r="AR91" s="1042"/>
      <c r="AS91" s="1042"/>
      <c r="AT91" s="1042"/>
    </row>
    <row r="92" spans="1:46" s="1041" customFormat="1" x14ac:dyDescent="0.35">
      <c r="A92" s="1042"/>
      <c r="B92" s="1042"/>
      <c r="C92" s="1042"/>
      <c r="D92" s="1042"/>
      <c r="E92" s="1042"/>
      <c r="F92" s="1042"/>
      <c r="G92" s="1042"/>
      <c r="H92" s="1042"/>
      <c r="I92" s="1042"/>
      <c r="J92" s="1042"/>
      <c r="K92" s="1042"/>
      <c r="L92" s="1042"/>
      <c r="M92" s="1042"/>
      <c r="N92" s="1042"/>
      <c r="O92" s="1042"/>
      <c r="P92" s="1042"/>
      <c r="Q92" s="1042"/>
      <c r="R92" s="1042"/>
      <c r="S92" s="1042"/>
      <c r="T92" s="1042"/>
      <c r="U92" s="1042"/>
      <c r="V92" s="1042"/>
      <c r="W92" s="1042"/>
      <c r="X92" s="1042"/>
      <c r="Y92" s="1042"/>
      <c r="Z92" s="1042"/>
      <c r="AA92" s="1042"/>
      <c r="AB92" s="1042"/>
      <c r="AC92" s="1042"/>
      <c r="AD92" s="1042"/>
      <c r="AE92" s="1042"/>
      <c r="AF92" s="1042"/>
      <c r="AG92" s="1042"/>
      <c r="AH92" s="1042"/>
      <c r="AI92" s="1042"/>
      <c r="AJ92" s="1042"/>
      <c r="AK92" s="1042"/>
      <c r="AL92" s="1042"/>
      <c r="AM92" s="1042"/>
      <c r="AN92" s="1042"/>
      <c r="AO92" s="1042"/>
      <c r="AP92" s="1042"/>
      <c r="AQ92" s="1042"/>
      <c r="AR92" s="1042"/>
      <c r="AS92" s="1042"/>
      <c r="AT92" s="1042"/>
    </row>
    <row r="93" spans="1:46" s="1041" customFormat="1" x14ac:dyDescent="0.35">
      <c r="A93" s="1042"/>
      <c r="B93" s="1042"/>
      <c r="C93" s="1042"/>
      <c r="D93" s="1042"/>
      <c r="E93" s="1042"/>
      <c r="F93" s="1042"/>
      <c r="G93" s="1042"/>
      <c r="H93" s="1042"/>
      <c r="I93" s="1042"/>
      <c r="J93" s="1042"/>
      <c r="K93" s="1042"/>
      <c r="L93" s="1042"/>
      <c r="M93" s="1042"/>
      <c r="N93" s="1042"/>
      <c r="O93" s="1042"/>
      <c r="P93" s="1042"/>
      <c r="Q93" s="1042"/>
      <c r="R93" s="1042"/>
      <c r="S93" s="1042"/>
      <c r="T93" s="1042"/>
      <c r="U93" s="1042"/>
      <c r="V93" s="1042"/>
      <c r="W93" s="1042"/>
      <c r="X93" s="1042"/>
      <c r="Y93" s="1042"/>
      <c r="Z93" s="1042"/>
      <c r="AA93" s="1042"/>
      <c r="AB93" s="1042"/>
      <c r="AC93" s="1042"/>
      <c r="AD93" s="1042"/>
      <c r="AE93" s="1042"/>
      <c r="AF93" s="1042"/>
      <c r="AG93" s="1042"/>
      <c r="AH93" s="1042"/>
      <c r="AI93" s="1042"/>
      <c r="AJ93" s="1042"/>
      <c r="AK93" s="1042"/>
      <c r="AL93" s="1042"/>
      <c r="AM93" s="1042"/>
      <c r="AN93" s="1042"/>
      <c r="AO93" s="1042"/>
      <c r="AP93" s="1042"/>
      <c r="AQ93" s="1042"/>
      <c r="AR93" s="1042"/>
      <c r="AS93" s="1042"/>
      <c r="AT93" s="1042"/>
    </row>
    <row r="94" spans="1:46" s="1041" customFormat="1" x14ac:dyDescent="0.35">
      <c r="A94" s="1042"/>
      <c r="B94" s="1042"/>
      <c r="C94" s="1042"/>
      <c r="D94" s="1042"/>
      <c r="E94" s="1042"/>
      <c r="F94" s="1042"/>
      <c r="G94" s="1042"/>
      <c r="H94" s="1042"/>
      <c r="I94" s="1042"/>
      <c r="J94" s="1042"/>
      <c r="K94" s="1042"/>
      <c r="L94" s="1042"/>
      <c r="M94" s="1042"/>
      <c r="N94" s="1042"/>
      <c r="O94" s="1042"/>
      <c r="P94" s="1042"/>
      <c r="Q94" s="1042"/>
      <c r="R94" s="1042"/>
      <c r="S94" s="1042"/>
      <c r="T94" s="1042"/>
      <c r="U94" s="1042"/>
      <c r="V94" s="1042"/>
      <c r="W94" s="1042"/>
      <c r="X94" s="1042"/>
      <c r="Y94" s="1042"/>
      <c r="Z94" s="1042"/>
      <c r="AA94" s="1042"/>
      <c r="AB94" s="1042"/>
      <c r="AC94" s="1042"/>
      <c r="AD94" s="1042"/>
      <c r="AE94" s="1042"/>
      <c r="AF94" s="1042"/>
      <c r="AG94" s="1042"/>
      <c r="AH94" s="1042"/>
      <c r="AI94" s="1042"/>
      <c r="AJ94" s="1042"/>
      <c r="AK94" s="1042"/>
      <c r="AL94" s="1042"/>
      <c r="AM94" s="1042"/>
      <c r="AN94" s="1042"/>
      <c r="AO94" s="1042"/>
      <c r="AP94" s="1042"/>
      <c r="AQ94" s="1042"/>
      <c r="AR94" s="1042"/>
      <c r="AS94" s="1042"/>
      <c r="AT94" s="1042"/>
    </row>
    <row r="95" spans="1:46" s="1041" customFormat="1" x14ac:dyDescent="0.35">
      <c r="A95" s="1042"/>
      <c r="B95" s="1042"/>
      <c r="C95" s="1042"/>
      <c r="D95" s="1042"/>
      <c r="E95" s="1042"/>
      <c r="F95" s="1042"/>
      <c r="G95" s="1042"/>
      <c r="H95" s="1042"/>
      <c r="I95" s="1042"/>
      <c r="J95" s="1042"/>
      <c r="K95" s="1042"/>
      <c r="L95" s="1042"/>
      <c r="M95" s="1042"/>
      <c r="N95" s="1042"/>
      <c r="O95" s="1042"/>
      <c r="P95" s="1042"/>
      <c r="Q95" s="1042"/>
      <c r="R95" s="1042"/>
      <c r="S95" s="1042"/>
      <c r="T95" s="1042"/>
      <c r="U95" s="1042"/>
      <c r="V95" s="1042"/>
      <c r="W95" s="1042"/>
      <c r="X95" s="1042"/>
      <c r="Y95" s="1042"/>
      <c r="Z95" s="1042"/>
      <c r="AA95" s="1042"/>
      <c r="AB95" s="1042"/>
      <c r="AC95" s="1042"/>
      <c r="AD95" s="1042"/>
      <c r="AE95" s="1042"/>
      <c r="AF95" s="1042"/>
      <c r="AG95" s="1042"/>
      <c r="AH95" s="1042"/>
      <c r="AI95" s="1042"/>
      <c r="AJ95" s="1042"/>
      <c r="AK95" s="1042"/>
      <c r="AL95" s="1042"/>
      <c r="AM95" s="1042"/>
      <c r="AN95" s="1042"/>
      <c r="AO95" s="1042"/>
      <c r="AP95" s="1042"/>
      <c r="AQ95" s="1042"/>
      <c r="AR95" s="1042"/>
      <c r="AS95" s="1042"/>
      <c r="AT95" s="1042"/>
    </row>
    <row r="96" spans="1:46" s="1041" customFormat="1" x14ac:dyDescent="0.35">
      <c r="A96" s="1042"/>
      <c r="B96" s="1042"/>
      <c r="C96" s="1042"/>
      <c r="D96" s="1042"/>
      <c r="E96" s="1042"/>
      <c r="F96" s="1042"/>
      <c r="G96" s="1042"/>
      <c r="H96" s="1042"/>
      <c r="I96" s="1042"/>
      <c r="J96" s="1042"/>
      <c r="K96" s="1042"/>
      <c r="L96" s="1042"/>
      <c r="M96" s="1042"/>
      <c r="N96" s="1042"/>
      <c r="O96" s="1042"/>
      <c r="P96" s="1042"/>
      <c r="Q96" s="1042"/>
      <c r="R96" s="1042"/>
      <c r="S96" s="1042"/>
      <c r="T96" s="1042"/>
      <c r="U96" s="1042"/>
      <c r="V96" s="1042"/>
      <c r="W96" s="1042"/>
      <c r="X96" s="1042"/>
      <c r="Y96" s="1042"/>
      <c r="Z96" s="1042"/>
      <c r="AA96" s="1042"/>
      <c r="AB96" s="1042"/>
      <c r="AC96" s="1042"/>
      <c r="AD96" s="1042"/>
      <c r="AE96" s="1042"/>
      <c r="AF96" s="1042"/>
      <c r="AG96" s="1042"/>
      <c r="AH96" s="1042"/>
      <c r="AI96" s="1042"/>
      <c r="AJ96" s="1042"/>
      <c r="AK96" s="1042"/>
      <c r="AL96" s="1042"/>
      <c r="AM96" s="1042"/>
      <c r="AN96" s="1042"/>
      <c r="AO96" s="1042"/>
      <c r="AP96" s="1042"/>
      <c r="AQ96" s="1042"/>
      <c r="AR96" s="1042"/>
      <c r="AS96" s="1042"/>
      <c r="AT96" s="1042"/>
    </row>
    <row r="97" spans="1:46" s="1041" customFormat="1" x14ac:dyDescent="0.35">
      <c r="A97" s="1042"/>
      <c r="B97" s="1042"/>
      <c r="C97" s="1042"/>
      <c r="D97" s="1042"/>
      <c r="E97" s="1042"/>
      <c r="F97" s="1042"/>
      <c r="G97" s="1042"/>
      <c r="H97" s="1042"/>
      <c r="I97" s="1042"/>
      <c r="J97" s="1042"/>
      <c r="K97" s="1042"/>
      <c r="L97" s="1042"/>
      <c r="M97" s="1042"/>
      <c r="N97" s="1042"/>
      <c r="O97" s="1042"/>
      <c r="P97" s="1042"/>
      <c r="Q97" s="1042"/>
      <c r="R97" s="1042"/>
      <c r="S97" s="1042"/>
      <c r="T97" s="1042"/>
      <c r="U97" s="1042"/>
      <c r="V97" s="1042"/>
      <c r="W97" s="1042"/>
      <c r="X97" s="1042"/>
      <c r="Y97" s="1042"/>
      <c r="Z97" s="1042"/>
      <c r="AA97" s="1042"/>
      <c r="AB97" s="1042"/>
      <c r="AC97" s="1042"/>
      <c r="AD97" s="1042"/>
      <c r="AE97" s="1042"/>
      <c r="AF97" s="1042"/>
      <c r="AG97" s="1042"/>
      <c r="AH97" s="1042"/>
      <c r="AI97" s="1042"/>
      <c r="AJ97" s="1042"/>
      <c r="AK97" s="1042"/>
      <c r="AL97" s="1042"/>
      <c r="AM97" s="1042"/>
      <c r="AN97" s="1042"/>
      <c r="AO97" s="1042"/>
      <c r="AP97" s="1042"/>
      <c r="AQ97" s="1042"/>
      <c r="AR97" s="1042"/>
      <c r="AS97" s="1042"/>
      <c r="AT97" s="1042"/>
    </row>
    <row r="98" spans="1:46" s="1041" customFormat="1" x14ac:dyDescent="0.35">
      <c r="A98" s="1042"/>
      <c r="B98" s="1042"/>
      <c r="C98" s="1042"/>
      <c r="D98" s="1042"/>
      <c r="E98" s="1042"/>
      <c r="F98" s="1042"/>
      <c r="G98" s="1042"/>
      <c r="H98" s="1042"/>
      <c r="I98" s="1042"/>
      <c r="J98" s="1042"/>
      <c r="K98" s="1042"/>
      <c r="L98" s="1042"/>
      <c r="M98" s="1042"/>
      <c r="N98" s="1042"/>
      <c r="O98" s="1042"/>
      <c r="P98" s="1042"/>
      <c r="Q98" s="1042"/>
      <c r="R98" s="1042"/>
      <c r="S98" s="1042"/>
      <c r="T98" s="1042"/>
      <c r="U98" s="1042"/>
      <c r="V98" s="1042"/>
      <c r="W98" s="1042"/>
      <c r="X98" s="1042"/>
      <c r="Y98" s="1042"/>
      <c r="Z98" s="1042"/>
      <c r="AA98" s="1042"/>
      <c r="AB98" s="1042"/>
      <c r="AC98" s="1042"/>
      <c r="AD98" s="1042"/>
      <c r="AE98" s="1042"/>
      <c r="AF98" s="1042"/>
      <c r="AG98" s="1042"/>
      <c r="AH98" s="1042"/>
      <c r="AI98" s="1042"/>
      <c r="AJ98" s="1042"/>
      <c r="AK98" s="1042"/>
      <c r="AL98" s="1042"/>
      <c r="AM98" s="1042"/>
      <c r="AN98" s="1042"/>
      <c r="AO98" s="1042"/>
      <c r="AP98" s="1042"/>
      <c r="AQ98" s="1042"/>
      <c r="AR98" s="1042"/>
      <c r="AS98" s="1042"/>
      <c r="AT98" s="1042"/>
    </row>
    <row r="99" spans="1:46" s="1041" customFormat="1" x14ac:dyDescent="0.35">
      <c r="A99" s="1042"/>
      <c r="B99" s="1042"/>
      <c r="C99" s="1042"/>
      <c r="D99" s="1042"/>
      <c r="E99" s="1042"/>
      <c r="F99" s="1042"/>
      <c r="G99" s="1042"/>
      <c r="H99" s="1042"/>
      <c r="I99" s="1042"/>
      <c r="J99" s="1042"/>
      <c r="K99" s="1042"/>
      <c r="L99" s="1042"/>
      <c r="M99" s="1042"/>
      <c r="N99" s="1042"/>
      <c r="O99" s="1042"/>
      <c r="P99" s="1042"/>
      <c r="Q99" s="1042"/>
      <c r="R99" s="1042"/>
      <c r="S99" s="1042"/>
      <c r="T99" s="1042"/>
      <c r="U99" s="1042"/>
      <c r="V99" s="1042"/>
      <c r="W99" s="1042"/>
      <c r="X99" s="1042"/>
      <c r="Y99" s="1042"/>
      <c r="Z99" s="1042"/>
      <c r="AA99" s="1042"/>
      <c r="AB99" s="1042"/>
      <c r="AC99" s="1042"/>
      <c r="AD99" s="1042"/>
      <c r="AE99" s="1042"/>
      <c r="AF99" s="1042"/>
      <c r="AG99" s="1042"/>
      <c r="AH99" s="1042"/>
      <c r="AI99" s="1042"/>
      <c r="AJ99" s="1042"/>
      <c r="AK99" s="1042"/>
      <c r="AL99" s="1042"/>
      <c r="AM99" s="1042"/>
      <c r="AN99" s="1042"/>
      <c r="AO99" s="1042"/>
      <c r="AP99" s="1042"/>
      <c r="AQ99" s="1042"/>
      <c r="AR99" s="1042"/>
      <c r="AS99" s="1042"/>
      <c r="AT99" s="1042"/>
    </row>
    <row r="100" spans="1:46" s="1041" customFormat="1" x14ac:dyDescent="0.35">
      <c r="A100" s="1042"/>
      <c r="B100" s="1042"/>
      <c r="C100" s="1042"/>
      <c r="D100" s="1042"/>
      <c r="E100" s="1042"/>
      <c r="F100" s="1042"/>
      <c r="G100" s="1042"/>
      <c r="H100" s="1042"/>
      <c r="I100" s="1042"/>
      <c r="J100" s="1042"/>
      <c r="K100" s="1042"/>
      <c r="L100" s="1042"/>
      <c r="M100" s="1042"/>
      <c r="N100" s="1042"/>
      <c r="O100" s="1042"/>
      <c r="P100" s="1042"/>
      <c r="Q100" s="1042"/>
      <c r="R100" s="1042"/>
      <c r="S100" s="1042"/>
      <c r="T100" s="1042"/>
      <c r="U100" s="1042"/>
      <c r="V100" s="1042"/>
      <c r="W100" s="1042"/>
      <c r="X100" s="1042"/>
      <c r="Y100" s="1042"/>
      <c r="Z100" s="1042"/>
      <c r="AA100" s="1042"/>
      <c r="AB100" s="1042"/>
      <c r="AC100" s="1042"/>
      <c r="AD100" s="1042"/>
      <c r="AE100" s="1042"/>
      <c r="AF100" s="1042"/>
      <c r="AG100" s="1042"/>
      <c r="AH100" s="1042"/>
      <c r="AI100" s="1042"/>
      <c r="AJ100" s="1042"/>
      <c r="AK100" s="1042"/>
      <c r="AL100" s="1042"/>
      <c r="AM100" s="1042"/>
      <c r="AN100" s="1042"/>
      <c r="AO100" s="1042"/>
      <c r="AP100" s="1042"/>
      <c r="AQ100" s="1042"/>
      <c r="AR100" s="1042"/>
      <c r="AS100" s="1042"/>
      <c r="AT100" s="1042"/>
    </row>
    <row r="101" spans="1:46" s="1041" customFormat="1" x14ac:dyDescent="0.35">
      <c r="A101" s="1042"/>
      <c r="B101" s="1042"/>
      <c r="C101" s="1042"/>
      <c r="D101" s="1042"/>
      <c r="E101" s="1042"/>
      <c r="F101" s="1042"/>
      <c r="G101" s="1042"/>
      <c r="H101" s="1042"/>
      <c r="I101" s="1042"/>
      <c r="J101" s="1042"/>
      <c r="K101" s="1042"/>
      <c r="L101" s="1042"/>
      <c r="M101" s="1042"/>
      <c r="N101" s="1042"/>
      <c r="O101" s="1042"/>
      <c r="P101" s="1042"/>
      <c r="Q101" s="1042"/>
      <c r="R101" s="1042"/>
      <c r="S101" s="1042"/>
      <c r="T101" s="1042"/>
      <c r="U101" s="1042"/>
      <c r="V101" s="1042"/>
      <c r="W101" s="1042"/>
      <c r="X101" s="1042"/>
      <c r="Y101" s="1042"/>
      <c r="Z101" s="1042"/>
      <c r="AA101" s="1042"/>
      <c r="AB101" s="1042"/>
      <c r="AC101" s="1042"/>
      <c r="AD101" s="1042"/>
      <c r="AE101" s="1042"/>
      <c r="AF101" s="1042"/>
      <c r="AG101" s="1042"/>
      <c r="AH101" s="1042"/>
      <c r="AI101" s="1042"/>
      <c r="AJ101" s="1042"/>
      <c r="AK101" s="1042"/>
      <c r="AL101" s="1042"/>
      <c r="AM101" s="1042"/>
      <c r="AN101" s="1042"/>
      <c r="AO101" s="1042"/>
      <c r="AP101" s="1042"/>
      <c r="AQ101" s="1042"/>
      <c r="AR101" s="1042"/>
      <c r="AS101" s="1042"/>
      <c r="AT101" s="1042"/>
    </row>
    <row r="102" spans="1:46" s="1041" customFormat="1" x14ac:dyDescent="0.35">
      <c r="A102" s="1042"/>
      <c r="B102" s="1042"/>
      <c r="C102" s="1042"/>
      <c r="D102" s="1042"/>
      <c r="E102" s="1042"/>
      <c r="F102" s="1042"/>
      <c r="G102" s="1042"/>
      <c r="H102" s="1042"/>
      <c r="I102" s="1042"/>
      <c r="J102" s="1042"/>
      <c r="K102" s="1042"/>
      <c r="L102" s="1042"/>
      <c r="M102" s="1042"/>
      <c r="N102" s="1042"/>
      <c r="O102" s="1042"/>
      <c r="P102" s="1042"/>
      <c r="Q102" s="1042"/>
      <c r="R102" s="1042"/>
      <c r="S102" s="1042"/>
      <c r="T102" s="1042"/>
      <c r="U102" s="1042"/>
      <c r="V102" s="1042"/>
      <c r="W102" s="1042"/>
      <c r="X102" s="1042"/>
      <c r="Y102" s="1042"/>
      <c r="Z102" s="1042"/>
      <c r="AA102" s="1042"/>
      <c r="AB102" s="1042"/>
      <c r="AC102" s="1042"/>
      <c r="AD102" s="1042"/>
      <c r="AE102" s="1042"/>
      <c r="AF102" s="1042"/>
      <c r="AG102" s="1042"/>
      <c r="AH102" s="1042"/>
      <c r="AI102" s="1042"/>
      <c r="AJ102" s="1042"/>
      <c r="AK102" s="1042"/>
      <c r="AL102" s="1042"/>
      <c r="AM102" s="1042"/>
      <c r="AN102" s="1042"/>
      <c r="AO102" s="1042"/>
      <c r="AP102" s="1042"/>
      <c r="AQ102" s="1042"/>
      <c r="AR102" s="1042"/>
      <c r="AS102" s="1042"/>
      <c r="AT102" s="1042"/>
    </row>
    <row r="103" spans="1:46" s="1041" customFormat="1" x14ac:dyDescent="0.35">
      <c r="A103" s="1042"/>
      <c r="B103" s="1042"/>
      <c r="C103" s="1042"/>
      <c r="D103" s="1042"/>
      <c r="E103" s="1042"/>
      <c r="F103" s="1042"/>
      <c r="G103" s="1042"/>
      <c r="H103" s="1042"/>
      <c r="I103" s="1042"/>
      <c r="J103" s="1042"/>
      <c r="K103" s="1042"/>
      <c r="L103" s="1042"/>
      <c r="M103" s="1042"/>
      <c r="N103" s="1042"/>
      <c r="O103" s="1042"/>
      <c r="P103" s="1042"/>
      <c r="Q103" s="1042"/>
      <c r="R103" s="1042"/>
      <c r="S103" s="1042"/>
      <c r="T103" s="1042"/>
      <c r="U103" s="1042"/>
      <c r="V103" s="1042"/>
      <c r="W103" s="1042"/>
      <c r="X103" s="1042"/>
      <c r="Y103" s="1042"/>
      <c r="Z103" s="1042"/>
      <c r="AA103" s="1042"/>
      <c r="AB103" s="1042"/>
      <c r="AC103" s="1042"/>
      <c r="AD103" s="1042"/>
      <c r="AE103" s="1042"/>
      <c r="AF103" s="1042"/>
      <c r="AG103" s="1042"/>
      <c r="AH103" s="1042"/>
      <c r="AI103" s="1042"/>
      <c r="AJ103" s="1042"/>
      <c r="AK103" s="1042"/>
      <c r="AL103" s="1042"/>
      <c r="AM103" s="1042"/>
      <c r="AN103" s="1042"/>
      <c r="AO103" s="1042"/>
      <c r="AP103" s="1042"/>
      <c r="AQ103" s="1042"/>
      <c r="AR103" s="1042"/>
      <c r="AS103" s="1042"/>
      <c r="AT103" s="1042"/>
    </row>
    <row r="104" spans="1:46" s="1041" customFormat="1" x14ac:dyDescent="0.35">
      <c r="A104" s="1042"/>
      <c r="B104" s="1042"/>
      <c r="C104" s="1042"/>
      <c r="D104" s="1042"/>
      <c r="E104" s="1042"/>
      <c r="F104" s="1042"/>
      <c r="G104" s="1042"/>
      <c r="H104" s="1042"/>
      <c r="I104" s="1042"/>
      <c r="J104" s="1042"/>
      <c r="K104" s="1042"/>
      <c r="L104" s="1042"/>
      <c r="M104" s="1042"/>
      <c r="N104" s="1042"/>
      <c r="O104" s="1042"/>
      <c r="P104" s="1042"/>
      <c r="Q104" s="1042"/>
      <c r="R104" s="1042"/>
      <c r="S104" s="1042"/>
      <c r="T104" s="1042"/>
      <c r="U104" s="1042"/>
      <c r="V104" s="1042"/>
      <c r="W104" s="1042"/>
      <c r="X104" s="1042"/>
      <c r="Y104" s="1042"/>
      <c r="Z104" s="1042"/>
      <c r="AA104" s="1042"/>
      <c r="AB104" s="1042"/>
      <c r="AC104" s="1042"/>
      <c r="AD104" s="1042"/>
      <c r="AE104" s="1042"/>
      <c r="AF104" s="1042"/>
      <c r="AG104" s="1042"/>
      <c r="AH104" s="1042"/>
      <c r="AI104" s="1042"/>
      <c r="AJ104" s="1042"/>
      <c r="AK104" s="1042"/>
      <c r="AL104" s="1042"/>
      <c r="AM104" s="1042"/>
      <c r="AN104" s="1042"/>
      <c r="AO104" s="1042"/>
      <c r="AP104" s="1042"/>
      <c r="AQ104" s="1042"/>
      <c r="AR104" s="1042"/>
      <c r="AS104" s="1042"/>
      <c r="AT104" s="1042"/>
    </row>
    <row r="105" spans="1:46" s="1041" customFormat="1" x14ac:dyDescent="0.35">
      <c r="A105" s="1042"/>
      <c r="B105" s="1042"/>
      <c r="C105" s="1042"/>
      <c r="D105" s="1042"/>
      <c r="E105" s="1042"/>
      <c r="F105" s="1042"/>
      <c r="G105" s="1042"/>
      <c r="H105" s="1042"/>
      <c r="I105" s="1042"/>
      <c r="J105" s="1042"/>
      <c r="K105" s="1042"/>
      <c r="L105" s="1042"/>
      <c r="M105" s="1042"/>
      <c r="N105" s="1042"/>
      <c r="O105" s="1042"/>
      <c r="P105" s="1042"/>
      <c r="Q105" s="1042"/>
      <c r="R105" s="1042"/>
      <c r="S105" s="1042"/>
      <c r="T105" s="1042"/>
      <c r="U105" s="1042"/>
      <c r="V105" s="1042"/>
      <c r="W105" s="1042"/>
      <c r="X105" s="1042"/>
      <c r="Y105" s="1042"/>
      <c r="Z105" s="1042"/>
      <c r="AA105" s="1042"/>
      <c r="AB105" s="1042"/>
      <c r="AC105" s="1042"/>
      <c r="AD105" s="1042"/>
      <c r="AE105" s="1042"/>
      <c r="AF105" s="1042"/>
      <c r="AG105" s="1042"/>
      <c r="AH105" s="1042"/>
      <c r="AI105" s="1042"/>
      <c r="AJ105" s="1042"/>
      <c r="AK105" s="1042"/>
      <c r="AL105" s="1042"/>
      <c r="AM105" s="1042"/>
      <c r="AN105" s="1042"/>
      <c r="AO105" s="1042"/>
      <c r="AP105" s="1042"/>
      <c r="AQ105" s="1042"/>
      <c r="AR105" s="1042"/>
      <c r="AS105" s="1042"/>
      <c r="AT105" s="1042"/>
    </row>
    <row r="106" spans="1:46" s="1041" customFormat="1" x14ac:dyDescent="0.35">
      <c r="A106" s="1042"/>
      <c r="B106" s="1042"/>
      <c r="C106" s="1042"/>
      <c r="D106" s="1042"/>
      <c r="E106" s="1042"/>
      <c r="F106" s="1042"/>
      <c r="G106" s="1042"/>
      <c r="H106" s="1042"/>
      <c r="I106" s="1042"/>
      <c r="J106" s="1042"/>
      <c r="K106" s="1042"/>
      <c r="L106" s="1042"/>
      <c r="M106" s="1042"/>
      <c r="N106" s="1042"/>
      <c r="O106" s="1042"/>
      <c r="P106" s="1042"/>
      <c r="Q106" s="1042"/>
      <c r="R106" s="1042"/>
      <c r="S106" s="1042"/>
      <c r="T106" s="1042"/>
      <c r="U106" s="1042"/>
      <c r="V106" s="1042"/>
      <c r="W106" s="1042"/>
      <c r="X106" s="1042"/>
      <c r="Y106" s="1042"/>
      <c r="Z106" s="1042"/>
      <c r="AA106" s="1042"/>
      <c r="AB106" s="1042"/>
      <c r="AC106" s="1042"/>
      <c r="AD106" s="1042"/>
      <c r="AE106" s="1042"/>
      <c r="AF106" s="1042"/>
      <c r="AG106" s="1042"/>
      <c r="AH106" s="1042"/>
      <c r="AI106" s="1042"/>
      <c r="AJ106" s="1042"/>
      <c r="AK106" s="1042"/>
      <c r="AL106" s="1042"/>
      <c r="AM106" s="1042"/>
      <c r="AN106" s="1042"/>
      <c r="AO106" s="1042"/>
      <c r="AP106" s="1042"/>
      <c r="AQ106" s="1042"/>
      <c r="AR106" s="1042"/>
      <c r="AS106" s="1042"/>
      <c r="AT106" s="1042"/>
    </row>
    <row r="107" spans="1:46" s="1041" customFormat="1" x14ac:dyDescent="0.35">
      <c r="A107" s="1042"/>
      <c r="B107" s="1042"/>
      <c r="C107" s="1042"/>
      <c r="D107" s="1042"/>
      <c r="E107" s="1042"/>
      <c r="F107" s="1042"/>
      <c r="G107" s="1042"/>
      <c r="H107" s="1042"/>
      <c r="I107" s="1042"/>
      <c r="J107" s="1042"/>
      <c r="K107" s="1042"/>
      <c r="L107" s="1042"/>
      <c r="M107" s="1042"/>
      <c r="N107" s="1042"/>
      <c r="O107" s="1042"/>
      <c r="P107" s="1042"/>
      <c r="Q107" s="1042"/>
      <c r="R107" s="1042"/>
      <c r="S107" s="1042"/>
      <c r="T107" s="1042"/>
      <c r="U107" s="1042"/>
      <c r="V107" s="1042"/>
      <c r="W107" s="1042"/>
      <c r="X107" s="1042"/>
      <c r="Y107" s="1042"/>
      <c r="Z107" s="1042"/>
      <c r="AA107" s="1042"/>
      <c r="AB107" s="1042"/>
      <c r="AC107" s="1042"/>
      <c r="AD107" s="1042"/>
      <c r="AE107" s="1042"/>
      <c r="AF107" s="1042"/>
      <c r="AG107" s="1042"/>
      <c r="AH107" s="1042"/>
      <c r="AI107" s="1042"/>
      <c r="AJ107" s="1042"/>
      <c r="AK107" s="1042"/>
      <c r="AL107" s="1042"/>
      <c r="AM107" s="1042"/>
      <c r="AN107" s="1042"/>
      <c r="AO107" s="1042"/>
      <c r="AP107" s="1042"/>
      <c r="AQ107" s="1042"/>
      <c r="AR107" s="1042"/>
      <c r="AS107" s="1042"/>
      <c r="AT107" s="1042"/>
    </row>
    <row r="108" spans="1:46" s="1041" customFormat="1" x14ac:dyDescent="0.35">
      <c r="A108" s="1042"/>
      <c r="B108" s="1042"/>
      <c r="C108" s="1042"/>
      <c r="D108" s="1042"/>
      <c r="E108" s="1042"/>
      <c r="F108" s="1042"/>
      <c r="G108" s="1042"/>
      <c r="H108" s="1042"/>
      <c r="I108" s="1042"/>
      <c r="J108" s="1042"/>
      <c r="K108" s="1042"/>
      <c r="L108" s="1042"/>
      <c r="M108" s="1042"/>
      <c r="N108" s="1042"/>
      <c r="O108" s="1042"/>
      <c r="P108" s="1042"/>
      <c r="Q108" s="1042"/>
      <c r="R108" s="1042"/>
      <c r="S108" s="1042"/>
      <c r="T108" s="1042"/>
      <c r="U108" s="1042"/>
      <c r="V108" s="1042"/>
      <c r="W108" s="1042"/>
      <c r="X108" s="1042"/>
      <c r="Y108" s="1042"/>
      <c r="Z108" s="1042"/>
      <c r="AA108" s="1042"/>
      <c r="AB108" s="1042"/>
      <c r="AC108" s="1042"/>
      <c r="AD108" s="1042"/>
      <c r="AE108" s="1042"/>
      <c r="AF108" s="1042"/>
      <c r="AG108" s="1042"/>
      <c r="AH108" s="1042"/>
      <c r="AI108" s="1042"/>
      <c r="AJ108" s="1042"/>
      <c r="AK108" s="1042"/>
      <c r="AL108" s="1042"/>
      <c r="AM108" s="1042"/>
      <c r="AN108" s="1042"/>
      <c r="AO108" s="1042"/>
      <c r="AP108" s="1042"/>
      <c r="AQ108" s="1042"/>
      <c r="AR108" s="1042"/>
      <c r="AS108" s="1042"/>
      <c r="AT108" s="1042"/>
    </row>
    <row r="109" spans="1:46" s="1041" customFormat="1" x14ac:dyDescent="0.35">
      <c r="A109" s="1042"/>
      <c r="B109" s="1042"/>
      <c r="C109" s="1042"/>
      <c r="D109" s="1042"/>
      <c r="E109" s="1042"/>
      <c r="F109" s="1042"/>
      <c r="G109" s="1042"/>
      <c r="H109" s="1042"/>
      <c r="I109" s="1042"/>
      <c r="J109" s="1042"/>
      <c r="K109" s="1042"/>
      <c r="L109" s="1042"/>
      <c r="M109" s="1042"/>
      <c r="N109" s="1042"/>
      <c r="O109" s="1042"/>
      <c r="P109" s="1042"/>
      <c r="Q109" s="1042"/>
      <c r="R109" s="1042"/>
      <c r="S109" s="1042"/>
      <c r="T109" s="1042"/>
      <c r="U109" s="1042"/>
      <c r="V109" s="1042"/>
      <c r="W109" s="1042"/>
      <c r="X109" s="1042"/>
      <c r="Y109" s="1042"/>
      <c r="Z109" s="1042"/>
      <c r="AA109" s="1042"/>
      <c r="AB109" s="1042"/>
      <c r="AC109" s="1042"/>
      <c r="AD109" s="1042"/>
      <c r="AE109" s="1042"/>
      <c r="AF109" s="1042"/>
      <c r="AG109" s="1042"/>
      <c r="AH109" s="1042"/>
      <c r="AI109" s="1042"/>
      <c r="AJ109" s="1042"/>
      <c r="AK109" s="1042"/>
      <c r="AL109" s="1042"/>
      <c r="AM109" s="1042"/>
      <c r="AN109" s="1042"/>
      <c r="AO109" s="1042"/>
      <c r="AP109" s="1042"/>
      <c r="AQ109" s="1042"/>
      <c r="AR109" s="1042"/>
      <c r="AS109" s="1042"/>
      <c r="AT109" s="1042"/>
    </row>
    <row r="110" spans="1:46" s="1041" customFormat="1" x14ac:dyDescent="0.35">
      <c r="A110" s="1042"/>
      <c r="B110" s="1042"/>
      <c r="C110" s="1042"/>
      <c r="D110" s="1042"/>
      <c r="E110" s="1042"/>
      <c r="F110" s="1042"/>
      <c r="G110" s="1042"/>
      <c r="H110" s="1042"/>
      <c r="I110" s="1042"/>
      <c r="J110" s="1042"/>
      <c r="K110" s="1042"/>
      <c r="L110" s="1042"/>
      <c r="M110" s="1042"/>
      <c r="N110" s="1042"/>
      <c r="O110" s="1042"/>
      <c r="P110" s="1042"/>
      <c r="Q110" s="1042"/>
      <c r="R110" s="1042"/>
      <c r="S110" s="1042"/>
      <c r="T110" s="1042"/>
      <c r="U110" s="1042"/>
      <c r="V110" s="1042"/>
      <c r="W110" s="1042"/>
      <c r="X110" s="1042"/>
      <c r="Y110" s="1042"/>
      <c r="Z110" s="1042"/>
      <c r="AA110" s="1042"/>
      <c r="AB110" s="1042"/>
      <c r="AC110" s="1042"/>
      <c r="AD110" s="1042"/>
      <c r="AE110" s="1042"/>
      <c r="AF110" s="1042"/>
      <c r="AG110" s="1042"/>
      <c r="AH110" s="1042"/>
      <c r="AI110" s="1042"/>
      <c r="AJ110" s="1042"/>
      <c r="AK110" s="1042"/>
      <c r="AL110" s="1042"/>
      <c r="AM110" s="1042"/>
      <c r="AN110" s="1042"/>
      <c r="AO110" s="1042"/>
      <c r="AP110" s="1042"/>
      <c r="AQ110" s="1042"/>
      <c r="AR110" s="1042"/>
      <c r="AS110" s="1042"/>
      <c r="AT110" s="1042"/>
    </row>
    <row r="111" spans="1:46" s="1041" customFormat="1" x14ac:dyDescent="0.35">
      <c r="A111" s="1042"/>
      <c r="B111" s="1042"/>
      <c r="C111" s="1042"/>
      <c r="D111" s="1042"/>
      <c r="E111" s="1042"/>
      <c r="F111" s="1042"/>
      <c r="G111" s="1042"/>
      <c r="H111" s="1042"/>
      <c r="I111" s="1042"/>
      <c r="J111" s="1042"/>
      <c r="K111" s="1042"/>
      <c r="L111" s="1042"/>
      <c r="M111" s="1042"/>
      <c r="N111" s="1042"/>
      <c r="O111" s="1042"/>
      <c r="P111" s="1042"/>
      <c r="Q111" s="1042"/>
      <c r="R111" s="1042"/>
      <c r="S111" s="1042"/>
      <c r="T111" s="1042"/>
      <c r="U111" s="1042"/>
      <c r="V111" s="1042"/>
      <c r="W111" s="1042"/>
      <c r="X111" s="1042"/>
      <c r="Y111" s="1042"/>
      <c r="Z111" s="1042"/>
      <c r="AA111" s="1042"/>
      <c r="AB111" s="1042"/>
      <c r="AC111" s="1042"/>
      <c r="AD111" s="1042"/>
      <c r="AE111" s="1042"/>
      <c r="AF111" s="1042"/>
      <c r="AG111" s="1042"/>
      <c r="AH111" s="1042"/>
      <c r="AI111" s="1042"/>
      <c r="AJ111" s="1042"/>
      <c r="AK111" s="1042"/>
      <c r="AL111" s="1042"/>
      <c r="AM111" s="1042"/>
      <c r="AN111" s="1042"/>
      <c r="AO111" s="1042"/>
      <c r="AP111" s="1042"/>
      <c r="AQ111" s="1042"/>
      <c r="AR111" s="1042"/>
      <c r="AS111" s="1042"/>
      <c r="AT111" s="1042"/>
    </row>
    <row r="112" spans="1:46" s="1041" customFormat="1" x14ac:dyDescent="0.35">
      <c r="A112" s="1042"/>
      <c r="B112" s="1042"/>
      <c r="C112" s="1042"/>
      <c r="D112" s="1042"/>
      <c r="E112" s="1042"/>
      <c r="F112" s="1042"/>
      <c r="G112" s="1042"/>
      <c r="H112" s="1042"/>
      <c r="I112" s="1042"/>
      <c r="J112" s="1042"/>
      <c r="K112" s="1042"/>
      <c r="L112" s="1042"/>
      <c r="M112" s="1042"/>
      <c r="N112" s="1042"/>
      <c r="O112" s="1042"/>
      <c r="P112" s="1042"/>
      <c r="Q112" s="1042"/>
      <c r="R112" s="1042"/>
      <c r="S112" s="1042"/>
      <c r="T112" s="1042"/>
      <c r="U112" s="1042"/>
      <c r="V112" s="1042"/>
      <c r="W112" s="1042"/>
      <c r="X112" s="1042"/>
      <c r="Y112" s="1042"/>
      <c r="Z112" s="1042"/>
      <c r="AA112" s="1042"/>
      <c r="AB112" s="1042"/>
      <c r="AC112" s="1042"/>
      <c r="AD112" s="1042"/>
      <c r="AE112" s="1042"/>
      <c r="AF112" s="1042"/>
      <c r="AG112" s="1042"/>
      <c r="AH112" s="1042"/>
      <c r="AI112" s="1042"/>
      <c r="AJ112" s="1042"/>
      <c r="AK112" s="1042"/>
      <c r="AL112" s="1042"/>
      <c r="AM112" s="1042"/>
      <c r="AN112" s="1042"/>
      <c r="AO112" s="1042"/>
      <c r="AP112" s="1042"/>
      <c r="AQ112" s="1042"/>
      <c r="AR112" s="1042"/>
      <c r="AS112" s="1042"/>
      <c r="AT112" s="1042"/>
    </row>
    <row r="113" spans="1:46" s="1041" customFormat="1" x14ac:dyDescent="0.35">
      <c r="A113" s="1042"/>
      <c r="B113" s="1042"/>
      <c r="C113" s="1042"/>
      <c r="D113" s="1042"/>
      <c r="E113" s="1042"/>
      <c r="F113" s="1042"/>
      <c r="G113" s="1042"/>
      <c r="H113" s="1042"/>
      <c r="I113" s="1042"/>
      <c r="J113" s="1042"/>
      <c r="K113" s="1042"/>
      <c r="L113" s="1042"/>
      <c r="M113" s="1042"/>
      <c r="N113" s="1042"/>
      <c r="O113" s="1042"/>
      <c r="P113" s="1042"/>
      <c r="Q113" s="1042"/>
      <c r="R113" s="1042"/>
      <c r="S113" s="1042"/>
      <c r="T113" s="1042"/>
      <c r="U113" s="1042"/>
      <c r="V113" s="1042"/>
      <c r="W113" s="1042"/>
      <c r="X113" s="1042"/>
      <c r="Y113" s="1042"/>
      <c r="Z113" s="1042"/>
      <c r="AA113" s="1042"/>
      <c r="AB113" s="1042"/>
      <c r="AC113" s="1042"/>
      <c r="AD113" s="1042"/>
      <c r="AE113" s="1042"/>
      <c r="AF113" s="1042"/>
      <c r="AG113" s="1042"/>
      <c r="AH113" s="1042"/>
      <c r="AI113" s="1042"/>
      <c r="AJ113" s="1042"/>
      <c r="AK113" s="1042"/>
      <c r="AL113" s="1042"/>
      <c r="AM113" s="1042"/>
      <c r="AN113" s="1042"/>
      <c r="AO113" s="1042"/>
      <c r="AP113" s="1042"/>
      <c r="AQ113" s="1042"/>
      <c r="AR113" s="1042"/>
      <c r="AS113" s="1042"/>
      <c r="AT113" s="1042"/>
    </row>
    <row r="114" spans="1:46" s="1041" customFormat="1" x14ac:dyDescent="0.35">
      <c r="A114" s="1042"/>
      <c r="B114" s="1042"/>
      <c r="C114" s="1042"/>
      <c r="D114" s="1042"/>
      <c r="E114" s="1042"/>
      <c r="F114" s="1042"/>
      <c r="G114" s="1042"/>
      <c r="H114" s="1042"/>
      <c r="I114" s="1042"/>
      <c r="J114" s="1042"/>
      <c r="K114" s="1042"/>
      <c r="L114" s="1042"/>
      <c r="M114" s="1042"/>
      <c r="N114" s="1042"/>
      <c r="O114" s="1042"/>
      <c r="P114" s="1042"/>
      <c r="Q114" s="1042"/>
      <c r="R114" s="1042"/>
      <c r="S114" s="1042"/>
      <c r="T114" s="1042"/>
      <c r="U114" s="1042"/>
      <c r="V114" s="1042"/>
      <c r="W114" s="1042"/>
      <c r="X114" s="1042"/>
      <c r="Y114" s="1042"/>
      <c r="Z114" s="1042"/>
      <c r="AA114" s="1042"/>
      <c r="AB114" s="1042"/>
      <c r="AC114" s="1042"/>
      <c r="AD114" s="1042"/>
      <c r="AE114" s="1042"/>
      <c r="AF114" s="1042"/>
      <c r="AG114" s="1042"/>
      <c r="AH114" s="1042"/>
      <c r="AI114" s="1042"/>
      <c r="AJ114" s="1042"/>
      <c r="AK114" s="1042"/>
      <c r="AL114" s="1042"/>
      <c r="AM114" s="1042"/>
      <c r="AN114" s="1042"/>
      <c r="AO114" s="1042"/>
      <c r="AP114" s="1042"/>
      <c r="AQ114" s="1042"/>
      <c r="AR114" s="1042"/>
      <c r="AS114" s="1042"/>
      <c r="AT114" s="1042"/>
    </row>
    <row r="115" spans="1:46" s="1041" customFormat="1" x14ac:dyDescent="0.35">
      <c r="A115" s="1042"/>
      <c r="B115" s="1042"/>
      <c r="C115" s="1042"/>
      <c r="D115" s="1042"/>
      <c r="E115" s="1042"/>
      <c r="F115" s="1042"/>
      <c r="G115" s="1042"/>
      <c r="H115" s="1042"/>
      <c r="I115" s="1042"/>
      <c r="J115" s="1042"/>
      <c r="K115" s="1042"/>
      <c r="L115" s="1042"/>
      <c r="M115" s="1042"/>
      <c r="N115" s="1042"/>
      <c r="O115" s="1042"/>
      <c r="P115" s="1042"/>
      <c r="Q115" s="1042"/>
      <c r="R115" s="1042"/>
      <c r="S115" s="1042"/>
      <c r="T115" s="1042"/>
      <c r="U115" s="1042"/>
      <c r="V115" s="1042"/>
      <c r="W115" s="1042"/>
      <c r="X115" s="1042"/>
      <c r="Y115" s="1042"/>
      <c r="Z115" s="1042"/>
      <c r="AA115" s="1042"/>
      <c r="AB115" s="1042"/>
      <c r="AC115" s="1042"/>
      <c r="AD115" s="1042"/>
      <c r="AE115" s="1042"/>
      <c r="AF115" s="1042"/>
      <c r="AG115" s="1042"/>
      <c r="AH115" s="1042"/>
      <c r="AI115" s="1042"/>
      <c r="AJ115" s="1042"/>
      <c r="AK115" s="1042"/>
      <c r="AL115" s="1042"/>
      <c r="AM115" s="1042"/>
      <c r="AN115" s="1042"/>
      <c r="AO115" s="1042"/>
      <c r="AP115" s="1042"/>
      <c r="AQ115" s="1042"/>
      <c r="AR115" s="1042"/>
      <c r="AS115" s="1042"/>
      <c r="AT115" s="1042"/>
    </row>
  </sheetData>
  <mergeCells count="5">
    <mergeCell ref="A58:U58"/>
    <mergeCell ref="A60:U60"/>
    <mergeCell ref="A63:AT63"/>
    <mergeCell ref="A64:AT64"/>
    <mergeCell ref="A66:AT66"/>
  </mergeCells>
  <printOptions horizontalCentered="1"/>
  <pageMargins left="0.11811023622047245" right="3.937007874015748E-2" top="0.74803149606299213" bottom="0.74803149606299213" header="0.31496062992125984" footer="0.31496062992125984"/>
  <pageSetup paperSize="9" scale="9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J90"/>
  <sheetViews>
    <sheetView showGridLines="0" zoomScaleNormal="100" workbookViewId="0">
      <pane xSplit="1" ySplit="3" topLeftCell="BH4" activePane="bottomRight" state="frozen"/>
      <selection pane="topRight" activeCell="B1" sqref="B1"/>
      <selection pane="bottomLeft" activeCell="A4" sqref="A4"/>
      <selection pane="bottomRight" activeCell="BI12" sqref="BI12"/>
    </sheetView>
  </sheetViews>
  <sheetFormatPr defaultColWidth="9.08984375" defaultRowHeight="14" x14ac:dyDescent="0.3"/>
  <cols>
    <col min="1" max="1" width="58" style="822" customWidth="1"/>
    <col min="2" max="11" width="9.08984375" style="821" hidden="1" customWidth="1"/>
    <col min="12" max="27" width="9.453125" style="821" hidden="1" customWidth="1"/>
    <col min="28" max="29" width="9.90625" style="821" hidden="1" customWidth="1"/>
    <col min="30" max="32" width="9.90625" style="102" hidden="1" customWidth="1"/>
    <col min="33" max="33" width="9.08984375" style="102" hidden="1" customWidth="1"/>
    <col min="34" max="34" width="9.90625" style="102" hidden="1" customWidth="1"/>
    <col min="35" max="35" width="9.6328125" style="102" hidden="1" customWidth="1"/>
    <col min="36" max="36" width="9.90625" style="102" hidden="1" customWidth="1"/>
    <col min="37" max="42" width="9.08984375" style="102" hidden="1" customWidth="1"/>
    <col min="43" max="43" width="8.6328125" style="102" hidden="1" customWidth="1"/>
    <col min="44" max="44" width="8.90625" style="102" hidden="1" customWidth="1"/>
    <col min="45" max="46" width="9.08984375" style="102" hidden="1" customWidth="1"/>
    <col min="47" max="47" width="8.90625" style="102" hidden="1" customWidth="1"/>
    <col min="48" max="48" width="8.6328125" style="102" hidden="1" customWidth="1"/>
    <col min="49" max="54" width="9.08984375" style="102" hidden="1" customWidth="1"/>
    <col min="55" max="55" width="9.453125" style="102" hidden="1" customWidth="1"/>
    <col min="56" max="56" width="10.6328125" style="102" hidden="1" customWidth="1"/>
    <col min="57" max="58" width="11.36328125" style="102" hidden="1" customWidth="1"/>
    <col min="59" max="59" width="11.36328125" style="980" hidden="1" customWidth="1"/>
    <col min="60" max="62" width="11.36328125" style="1127" customWidth="1"/>
    <col min="63" max="16384" width="9.08984375" style="102"/>
  </cols>
  <sheetData>
    <row r="1" spans="1:62" ht="18" customHeight="1" x14ac:dyDescent="0.3">
      <c r="A1" s="1365" t="s">
        <v>733</v>
      </c>
      <c r="B1" s="1365"/>
      <c r="C1" s="1365"/>
      <c r="D1" s="1365"/>
      <c r="E1" s="1365"/>
      <c r="F1" s="1365"/>
      <c r="G1" s="1365"/>
      <c r="H1" s="1365"/>
      <c r="I1" s="1365"/>
      <c r="J1" s="1365"/>
      <c r="K1" s="1365"/>
      <c r="L1" s="1365"/>
      <c r="M1" s="1365"/>
      <c r="N1" s="1365"/>
      <c r="O1" s="1365"/>
      <c r="P1" s="1365"/>
      <c r="Q1" s="1365"/>
      <c r="R1" s="1365"/>
      <c r="S1" s="1365"/>
      <c r="T1" s="1365"/>
      <c r="U1" s="1365"/>
      <c r="V1" s="1365"/>
      <c r="W1" s="1365"/>
      <c r="X1" s="1365"/>
      <c r="Y1" s="1365"/>
      <c r="Z1" s="1365"/>
      <c r="AA1" s="1365"/>
      <c r="AB1" s="1365"/>
      <c r="AC1" s="1365"/>
      <c r="AD1" s="1365"/>
      <c r="AE1" s="1365"/>
      <c r="AF1" s="1365"/>
      <c r="AG1" s="1365"/>
      <c r="AH1" s="1365"/>
      <c r="AI1" s="1365"/>
      <c r="AJ1" s="1365"/>
      <c r="AK1" s="1365"/>
      <c r="AL1" s="1365"/>
      <c r="AM1" s="1365"/>
      <c r="AN1" s="1365"/>
      <c r="AO1" s="1365"/>
      <c r="AP1" s="1365"/>
      <c r="AQ1" s="1365"/>
      <c r="AR1" s="1365"/>
      <c r="AS1" s="1365"/>
      <c r="AT1" s="1365"/>
      <c r="AU1" s="1365"/>
      <c r="AV1" s="1365"/>
      <c r="AW1" s="1365"/>
      <c r="AX1" s="1365"/>
      <c r="AY1" s="1365"/>
      <c r="AZ1" s="1365"/>
      <c r="BA1" s="1365"/>
      <c r="BB1" s="1365"/>
      <c r="BC1" s="1365"/>
      <c r="BD1" s="1365"/>
      <c r="BE1" s="1365"/>
      <c r="BF1" s="1365"/>
      <c r="BG1" s="1365"/>
      <c r="BH1" s="1365"/>
      <c r="BI1" s="1365"/>
      <c r="BJ1" s="1365"/>
    </row>
    <row r="2" spans="1:62" ht="12.9" customHeight="1" thickBot="1" x14ac:dyDescent="0.35">
      <c r="A2" s="878" t="s">
        <v>437</v>
      </c>
      <c r="E2" s="877"/>
      <c r="F2" s="877"/>
      <c r="G2" s="877"/>
      <c r="AG2" s="152"/>
      <c r="AH2" s="152"/>
      <c r="AI2" s="152"/>
      <c r="AN2" s="152"/>
      <c r="AO2" s="152"/>
      <c r="AP2" s="152"/>
      <c r="AQ2" s="152"/>
      <c r="AR2" s="152"/>
      <c r="AS2" s="152"/>
      <c r="AT2" s="152"/>
      <c r="AU2" s="152"/>
      <c r="AV2" s="152"/>
      <c r="AW2" s="152"/>
      <c r="AX2" s="152"/>
      <c r="BA2" s="152"/>
      <c r="BB2" s="152"/>
      <c r="BC2" s="152"/>
      <c r="BD2" s="152"/>
      <c r="BE2" s="876"/>
      <c r="BF2" s="876"/>
      <c r="BG2" s="876"/>
      <c r="BH2" s="876"/>
      <c r="BI2" s="975"/>
      <c r="BJ2" s="975" t="s">
        <v>144</v>
      </c>
    </row>
    <row r="3" spans="1:62" ht="15.75" customHeight="1" thickBot="1" x14ac:dyDescent="0.35">
      <c r="A3" s="875" t="s">
        <v>732</v>
      </c>
      <c r="B3" s="874">
        <v>40603</v>
      </c>
      <c r="C3" s="874">
        <v>40695</v>
      </c>
      <c r="D3" s="874">
        <v>40787</v>
      </c>
      <c r="E3" s="874">
        <v>40878</v>
      </c>
      <c r="F3" s="874">
        <v>40969</v>
      </c>
      <c r="G3" s="874">
        <v>41061</v>
      </c>
      <c r="H3" s="874">
        <v>41153</v>
      </c>
      <c r="I3" s="874">
        <v>41244</v>
      </c>
      <c r="J3" s="874">
        <v>41334</v>
      </c>
      <c r="K3" s="874">
        <v>41426</v>
      </c>
      <c r="L3" s="874">
        <v>41518</v>
      </c>
      <c r="M3" s="874">
        <v>41609</v>
      </c>
      <c r="N3" s="874">
        <v>41699</v>
      </c>
      <c r="O3" s="874">
        <v>41791</v>
      </c>
      <c r="P3" s="874">
        <v>41883</v>
      </c>
      <c r="Q3" s="874">
        <v>41974</v>
      </c>
      <c r="R3" s="874">
        <v>42064</v>
      </c>
      <c r="S3" s="874">
        <v>42156</v>
      </c>
      <c r="T3" s="874">
        <v>42248</v>
      </c>
      <c r="U3" s="874">
        <v>42339</v>
      </c>
      <c r="V3" s="874">
        <v>42430</v>
      </c>
      <c r="W3" s="874">
        <v>42522</v>
      </c>
      <c r="X3" s="874">
        <v>42614</v>
      </c>
      <c r="Y3" s="874">
        <v>42705</v>
      </c>
      <c r="Z3" s="874">
        <v>42795</v>
      </c>
      <c r="AA3" s="874">
        <v>42887</v>
      </c>
      <c r="AB3" s="874">
        <v>42979</v>
      </c>
      <c r="AC3" s="873">
        <v>43070</v>
      </c>
      <c r="AD3" s="873">
        <v>43160</v>
      </c>
      <c r="AE3" s="873">
        <v>43252</v>
      </c>
      <c r="AF3" s="873">
        <v>43344</v>
      </c>
      <c r="AG3" s="873">
        <v>43435</v>
      </c>
      <c r="AH3" s="873">
        <v>43525</v>
      </c>
      <c r="AI3" s="873">
        <v>43617</v>
      </c>
      <c r="AJ3" s="873">
        <v>43709</v>
      </c>
      <c r="AK3" s="873">
        <v>43800</v>
      </c>
      <c r="AL3" s="873">
        <v>43891</v>
      </c>
      <c r="AM3" s="872">
        <v>43983</v>
      </c>
      <c r="AN3" s="872">
        <v>44075</v>
      </c>
      <c r="AO3" s="872">
        <v>44166</v>
      </c>
      <c r="AP3" s="872">
        <v>44256</v>
      </c>
      <c r="AQ3" s="872">
        <v>44348</v>
      </c>
      <c r="AR3" s="872">
        <v>44440</v>
      </c>
      <c r="AS3" s="872">
        <v>44531</v>
      </c>
      <c r="AT3" s="872">
        <v>44621</v>
      </c>
      <c r="AU3" s="872">
        <v>44713</v>
      </c>
      <c r="AV3" s="872">
        <v>44805</v>
      </c>
      <c r="AW3" s="872">
        <v>44896</v>
      </c>
      <c r="AX3" s="872">
        <v>44986</v>
      </c>
      <c r="AY3" s="872">
        <v>45078</v>
      </c>
      <c r="AZ3" s="872">
        <v>45170</v>
      </c>
      <c r="BA3" s="872">
        <v>45261</v>
      </c>
      <c r="BB3" s="872">
        <v>45352</v>
      </c>
      <c r="BC3" s="872">
        <v>45444</v>
      </c>
      <c r="BD3" s="872">
        <v>45536</v>
      </c>
      <c r="BE3" s="872">
        <v>45627</v>
      </c>
      <c r="BF3" s="872">
        <v>45717</v>
      </c>
      <c r="BG3" s="872">
        <v>45809</v>
      </c>
      <c r="BH3" s="872">
        <v>45901</v>
      </c>
      <c r="BI3" s="872">
        <v>45992</v>
      </c>
      <c r="BJ3" s="872">
        <v>46082</v>
      </c>
    </row>
    <row r="4" spans="1:62" ht="18" customHeight="1" x14ac:dyDescent="0.3">
      <c r="A4" s="869" t="s">
        <v>731</v>
      </c>
      <c r="B4" s="871">
        <v>124737.57</v>
      </c>
      <c r="C4" s="871">
        <v>127493.5</v>
      </c>
      <c r="D4" s="871">
        <v>128598</v>
      </c>
      <c r="E4" s="871">
        <v>133233.20000000001</v>
      </c>
      <c r="F4" s="871">
        <v>137595.4</v>
      </c>
      <c r="G4" s="871">
        <v>140559.48000000001</v>
      </c>
      <c r="H4" s="871">
        <v>140250.58000000002</v>
      </c>
      <c r="I4" s="871">
        <v>139422.29999999999</v>
      </c>
      <c r="J4" s="871">
        <v>142799.5</v>
      </c>
      <c r="K4" s="871">
        <v>144007.09999999998</v>
      </c>
      <c r="L4" s="871">
        <v>148288.79999999999</v>
      </c>
      <c r="M4" s="871">
        <v>148860.20000000001</v>
      </c>
      <c r="N4" s="871">
        <v>153986.6</v>
      </c>
      <c r="O4" s="871">
        <v>157394.30000000005</v>
      </c>
      <c r="P4" s="871">
        <v>163400.35000000003</v>
      </c>
      <c r="Q4" s="871">
        <v>165519.55000000002</v>
      </c>
      <c r="R4" s="871">
        <v>168842</v>
      </c>
      <c r="S4" s="871">
        <v>171840.5</v>
      </c>
      <c r="T4" s="871">
        <v>177687.8</v>
      </c>
      <c r="U4" s="871">
        <v>181836.75</v>
      </c>
      <c r="V4" s="871">
        <v>190076.3</v>
      </c>
      <c r="W4" s="871">
        <v>197984.8</v>
      </c>
      <c r="X4" s="871">
        <v>201893.25</v>
      </c>
      <c r="Y4" s="871">
        <v>206372.55</v>
      </c>
      <c r="Z4" s="871">
        <v>218220.9</v>
      </c>
      <c r="AA4" s="871">
        <v>219548.7</v>
      </c>
      <c r="AB4" s="871">
        <v>217457.3</v>
      </c>
      <c r="AC4" s="870">
        <v>216925.2</v>
      </c>
      <c r="AD4" s="870">
        <v>219582.3</v>
      </c>
      <c r="AE4" s="870">
        <v>226068.19999999998</v>
      </c>
      <c r="AF4" s="870">
        <v>234888.89999999997</v>
      </c>
      <c r="AG4" s="870">
        <v>237342.15000000002</v>
      </c>
      <c r="AH4" s="870">
        <v>246535.55000000002</v>
      </c>
      <c r="AI4" s="870">
        <v>249451</v>
      </c>
      <c r="AJ4" s="870">
        <v>256860.18</v>
      </c>
      <c r="AK4" s="861">
        <v>258545</v>
      </c>
      <c r="AL4" s="861">
        <v>263835.53000000003</v>
      </c>
      <c r="AM4" s="861">
        <v>305099.90000000002</v>
      </c>
      <c r="AN4" s="861">
        <v>283941.75</v>
      </c>
      <c r="AO4" s="861">
        <v>275059.23</v>
      </c>
      <c r="AP4" s="861">
        <v>291147.7</v>
      </c>
      <c r="AQ4" s="861">
        <v>320961.90000000002</v>
      </c>
      <c r="AR4" s="861">
        <v>327020.435</v>
      </c>
      <c r="AS4" s="861">
        <v>316250.625</v>
      </c>
      <c r="AT4" s="861">
        <v>323959.59999999998</v>
      </c>
      <c r="AU4" s="861">
        <v>338286.52</v>
      </c>
      <c r="AV4" s="861">
        <v>349424.88500000001</v>
      </c>
      <c r="AW4" s="861">
        <v>346448.8</v>
      </c>
      <c r="AX4" s="861">
        <v>352880.63</v>
      </c>
      <c r="AY4" s="861">
        <v>365183.27999999997</v>
      </c>
      <c r="AZ4" s="861">
        <v>372608.09499999997</v>
      </c>
      <c r="BA4" s="861">
        <v>382446.9</v>
      </c>
      <c r="BB4" s="861">
        <v>392865.2</v>
      </c>
      <c r="BC4" s="861">
        <v>406697.47499999998</v>
      </c>
      <c r="BD4" s="861">
        <v>425547.27500000002</v>
      </c>
      <c r="BE4" s="861">
        <v>441693.86499999999</v>
      </c>
      <c r="BF4" s="861">
        <v>464126.04000000004</v>
      </c>
      <c r="BG4" s="861">
        <v>473823.11600000004</v>
      </c>
      <c r="BH4" s="861">
        <v>494543.24</v>
      </c>
      <c r="BI4" s="861">
        <v>500811.56999999995</v>
      </c>
      <c r="BJ4" s="861">
        <v>512981.34499999997</v>
      </c>
    </row>
    <row r="5" spans="1:62" ht="9.9" customHeight="1" x14ac:dyDescent="0.3">
      <c r="A5" s="869"/>
      <c r="B5" s="863"/>
      <c r="C5" s="863"/>
      <c r="D5" s="863"/>
      <c r="E5" s="863"/>
      <c r="F5" s="863"/>
      <c r="G5" s="863"/>
      <c r="H5" s="863"/>
      <c r="I5" s="863"/>
      <c r="J5" s="863"/>
      <c r="K5" s="863"/>
      <c r="L5" s="863"/>
      <c r="M5" s="863"/>
      <c r="N5" s="863"/>
      <c r="O5" s="863"/>
      <c r="P5" s="863"/>
      <c r="Q5" s="863"/>
      <c r="R5" s="863"/>
      <c r="S5" s="863"/>
      <c r="T5" s="863"/>
      <c r="U5" s="863"/>
      <c r="V5" s="863"/>
      <c r="W5" s="863"/>
      <c r="X5" s="863"/>
      <c r="Y5" s="863"/>
      <c r="Z5" s="863"/>
      <c r="AA5" s="863"/>
      <c r="AB5" s="863"/>
      <c r="AC5" s="863"/>
      <c r="AD5" s="863"/>
      <c r="AE5" s="863"/>
      <c r="AF5" s="863"/>
      <c r="AG5" s="863"/>
      <c r="AH5" s="863"/>
      <c r="AI5" s="831"/>
      <c r="AJ5" s="831"/>
      <c r="AK5" s="848"/>
      <c r="AL5" s="848"/>
      <c r="AM5" s="848"/>
      <c r="AN5" s="848"/>
      <c r="AO5" s="848"/>
      <c r="AP5" s="848"/>
      <c r="AQ5" s="848"/>
      <c r="AR5" s="848"/>
      <c r="AS5" s="848"/>
      <c r="AT5" s="848"/>
      <c r="AU5" s="848"/>
      <c r="AV5" s="848"/>
      <c r="AW5" s="848"/>
      <c r="AX5" s="848"/>
      <c r="AY5" s="848"/>
      <c r="AZ5" s="848"/>
      <c r="BA5" s="848"/>
      <c r="BB5" s="848"/>
      <c r="BC5" s="848"/>
      <c r="BD5" s="848"/>
      <c r="BE5" s="848"/>
      <c r="BF5" s="848"/>
      <c r="BG5" s="848"/>
      <c r="BH5" s="848"/>
      <c r="BI5" s="848"/>
      <c r="BJ5" s="848"/>
    </row>
    <row r="6" spans="1:62" s="865" customFormat="1" ht="15" customHeight="1" x14ac:dyDescent="0.35">
      <c r="A6" s="867" t="s">
        <v>730</v>
      </c>
      <c r="B6" s="866">
        <v>57724.12</v>
      </c>
      <c r="C6" s="866">
        <v>58038.37</v>
      </c>
      <c r="D6" s="866">
        <v>57091.47</v>
      </c>
      <c r="E6" s="866">
        <v>59861.42</v>
      </c>
      <c r="F6" s="866">
        <v>61829.18</v>
      </c>
      <c r="G6" s="866">
        <v>62053.68</v>
      </c>
      <c r="H6" s="866">
        <v>60126.080000000002</v>
      </c>
      <c r="I6" s="866">
        <v>60888.7</v>
      </c>
      <c r="J6" s="866">
        <v>62492.5</v>
      </c>
      <c r="K6" s="866">
        <v>62504.75</v>
      </c>
      <c r="L6" s="866">
        <v>65330.25</v>
      </c>
      <c r="M6" s="866">
        <v>65129.75</v>
      </c>
      <c r="N6" s="866">
        <v>68326.5</v>
      </c>
      <c r="O6" s="866">
        <v>74421.45</v>
      </c>
      <c r="P6" s="866">
        <v>76067.149999999994</v>
      </c>
      <c r="Q6" s="866">
        <v>77751.850000000006</v>
      </c>
      <c r="R6" s="866">
        <v>78156.899999999994</v>
      </c>
      <c r="S6" s="866">
        <v>79339.55</v>
      </c>
      <c r="T6" s="866">
        <v>81377.75</v>
      </c>
      <c r="U6" s="866">
        <v>83309.649999999994</v>
      </c>
      <c r="V6" s="866">
        <v>89056.15</v>
      </c>
      <c r="W6" s="866">
        <v>93782.45</v>
      </c>
      <c r="X6" s="866">
        <v>97972.2</v>
      </c>
      <c r="Y6" s="866">
        <v>100020.3</v>
      </c>
      <c r="Z6" s="866">
        <v>109126.9</v>
      </c>
      <c r="AA6" s="866">
        <v>105652.35</v>
      </c>
      <c r="AB6" s="866">
        <v>104247.4</v>
      </c>
      <c r="AC6" s="866">
        <v>102271.65</v>
      </c>
      <c r="AD6" s="866">
        <v>99553.3</v>
      </c>
      <c r="AE6" s="866">
        <v>100457</v>
      </c>
      <c r="AF6" s="866">
        <v>105125.94999999998</v>
      </c>
      <c r="AG6" s="866">
        <v>102960.95000000001</v>
      </c>
      <c r="AH6" s="866">
        <v>108192.30000000002</v>
      </c>
      <c r="AI6" s="866">
        <v>107149</v>
      </c>
      <c r="AJ6" s="866">
        <v>107825.60000000001</v>
      </c>
      <c r="AK6" s="852">
        <v>116286</v>
      </c>
      <c r="AL6" s="852">
        <v>124494.1</v>
      </c>
      <c r="AM6" s="852">
        <v>161542</v>
      </c>
      <c r="AN6" s="852">
        <v>139389</v>
      </c>
      <c r="AO6" s="852">
        <v>140133</v>
      </c>
      <c r="AP6" s="852">
        <v>156449</v>
      </c>
      <c r="AQ6" s="852">
        <v>184923.9</v>
      </c>
      <c r="AR6" s="852">
        <v>189976.75</v>
      </c>
      <c r="AS6" s="852">
        <v>191808</v>
      </c>
      <c r="AT6" s="852">
        <v>191532.2</v>
      </c>
      <c r="AU6" s="852">
        <v>188379.5</v>
      </c>
      <c r="AV6" s="852">
        <v>199270.2</v>
      </c>
      <c r="AW6" s="852">
        <v>190928</v>
      </c>
      <c r="AX6" s="852">
        <v>193891.75</v>
      </c>
      <c r="AY6" s="852">
        <v>204757.1</v>
      </c>
      <c r="AZ6" s="852">
        <v>209557.05000000002</v>
      </c>
      <c r="BA6" s="852">
        <v>220014.9</v>
      </c>
      <c r="BB6" s="852">
        <v>225946.2</v>
      </c>
      <c r="BC6" s="852">
        <v>235371.85</v>
      </c>
      <c r="BD6" s="852">
        <v>247136.2</v>
      </c>
      <c r="BE6" s="852">
        <v>267198.5</v>
      </c>
      <c r="BF6" s="852">
        <v>274172.7</v>
      </c>
      <c r="BG6" s="852">
        <v>272120.3</v>
      </c>
      <c r="BH6" s="852">
        <v>288279.84999999998</v>
      </c>
      <c r="BI6" s="852">
        <v>286003.05</v>
      </c>
      <c r="BJ6" s="852">
        <v>281351.95</v>
      </c>
    </row>
    <row r="7" spans="1:62" s="835" customFormat="1" ht="12.25" customHeight="1" x14ac:dyDescent="0.3">
      <c r="A7" s="851" t="s">
        <v>716</v>
      </c>
      <c r="B7" s="838">
        <v>27846</v>
      </c>
      <c r="C7" s="838">
        <v>28687.25</v>
      </c>
      <c r="D7" s="838">
        <v>27059.25</v>
      </c>
      <c r="E7" s="838">
        <v>29416.5</v>
      </c>
      <c r="F7" s="838">
        <v>30750.85</v>
      </c>
      <c r="G7" s="838">
        <v>29332.15</v>
      </c>
      <c r="H7" s="838">
        <v>25556.05</v>
      </c>
      <c r="I7" s="838">
        <v>26500.799999999999</v>
      </c>
      <c r="J7" s="838">
        <v>25916.55</v>
      </c>
      <c r="K7" s="838">
        <v>25775.9</v>
      </c>
      <c r="L7" s="838">
        <v>26212.799999999999</v>
      </c>
      <c r="M7" s="838">
        <v>24123.15</v>
      </c>
      <c r="N7" s="838">
        <v>22820.2</v>
      </c>
      <c r="O7" s="838">
        <v>22310.2</v>
      </c>
      <c r="P7" s="838">
        <v>22706.400000000001</v>
      </c>
      <c r="Q7" s="838">
        <v>25801</v>
      </c>
      <c r="R7" s="838">
        <v>23580.65</v>
      </c>
      <c r="S7" s="838">
        <v>24647.8</v>
      </c>
      <c r="T7" s="838">
        <v>24485.200000000001</v>
      </c>
      <c r="U7" s="838">
        <v>25182.7</v>
      </c>
      <c r="V7" s="838">
        <v>30491.200000000001</v>
      </c>
      <c r="W7" s="838">
        <v>32290.2</v>
      </c>
      <c r="X7" s="838">
        <v>33927.5</v>
      </c>
      <c r="Y7" s="838">
        <v>31138.799999999999</v>
      </c>
      <c r="Z7" s="838">
        <v>37270.300000000003</v>
      </c>
      <c r="AA7" s="838">
        <v>34594.75</v>
      </c>
      <c r="AB7" s="838">
        <v>28042.1</v>
      </c>
      <c r="AC7" s="838">
        <v>25231.1</v>
      </c>
      <c r="AD7" s="838">
        <v>22188.5</v>
      </c>
      <c r="AE7" s="838">
        <v>21185.8</v>
      </c>
      <c r="AF7" s="838">
        <v>22112.9</v>
      </c>
      <c r="AG7" s="838">
        <v>18376.849999999999</v>
      </c>
      <c r="AH7" s="838">
        <v>19121.099999999999</v>
      </c>
      <c r="AI7" s="832">
        <v>29000.03</v>
      </c>
      <c r="AJ7" s="832">
        <v>12461.7</v>
      </c>
      <c r="AK7" s="837">
        <v>15343</v>
      </c>
      <c r="AL7" s="837">
        <v>19605.55</v>
      </c>
      <c r="AM7" s="837">
        <v>32957</v>
      </c>
      <c r="AN7" s="837">
        <v>16329</v>
      </c>
      <c r="AO7" s="837">
        <v>12667.8</v>
      </c>
      <c r="AP7" s="837">
        <v>14612</v>
      </c>
      <c r="AQ7" s="837">
        <v>19533.900000000001</v>
      </c>
      <c r="AR7" s="837">
        <v>16617.849999999999</v>
      </c>
      <c r="AS7" s="837">
        <v>16435.55</v>
      </c>
      <c r="AT7" s="837">
        <v>14447.85</v>
      </c>
      <c r="AU7" s="837">
        <v>10918.9</v>
      </c>
      <c r="AV7" s="837">
        <v>17182.7</v>
      </c>
      <c r="AW7" s="837">
        <v>14638</v>
      </c>
      <c r="AX7" s="837">
        <v>14993</v>
      </c>
      <c r="AY7" s="837">
        <v>14184.45</v>
      </c>
      <c r="AZ7" s="837">
        <v>13250.4</v>
      </c>
      <c r="BA7" s="837">
        <v>20740.400000000001</v>
      </c>
      <c r="BB7" s="837">
        <v>24743.15</v>
      </c>
      <c r="BC7" s="837">
        <v>37218.300000000003</v>
      </c>
      <c r="BD7" s="837">
        <v>44904.5</v>
      </c>
      <c r="BE7" s="837">
        <v>62451.25</v>
      </c>
      <c r="BF7" s="837">
        <v>65359.7</v>
      </c>
      <c r="BG7" s="837">
        <v>66691.95</v>
      </c>
      <c r="BH7" s="837">
        <v>75502.05</v>
      </c>
      <c r="BI7" s="837">
        <v>62703.65</v>
      </c>
      <c r="BJ7" s="837">
        <v>58042.8</v>
      </c>
    </row>
    <row r="8" spans="1:62" s="835" customFormat="1" ht="12.25" customHeight="1" x14ac:dyDescent="0.3">
      <c r="A8" s="851" t="s">
        <v>715</v>
      </c>
      <c r="B8" s="838">
        <v>29878.120000000003</v>
      </c>
      <c r="C8" s="838">
        <v>29351.120000000003</v>
      </c>
      <c r="D8" s="838">
        <v>30032.22</v>
      </c>
      <c r="E8" s="838">
        <v>30444.92</v>
      </c>
      <c r="F8" s="838">
        <v>31078.33</v>
      </c>
      <c r="G8" s="838">
        <v>32721.53</v>
      </c>
      <c r="H8" s="838">
        <v>34570.03</v>
      </c>
      <c r="I8" s="838">
        <v>34387.899999999994</v>
      </c>
      <c r="J8" s="838">
        <v>36575.949999999997</v>
      </c>
      <c r="K8" s="838">
        <v>36728.85</v>
      </c>
      <c r="L8" s="838">
        <v>39117.449999999997</v>
      </c>
      <c r="M8" s="838">
        <v>41006.6</v>
      </c>
      <c r="N8" s="838">
        <v>45506.3</v>
      </c>
      <c r="O8" s="838">
        <v>52111.25</v>
      </c>
      <c r="P8" s="838">
        <v>53360.749999999993</v>
      </c>
      <c r="Q8" s="838">
        <v>51950.850000000006</v>
      </c>
      <c r="R8" s="838">
        <v>54576.249999999993</v>
      </c>
      <c r="S8" s="838">
        <v>54691.75</v>
      </c>
      <c r="T8" s="838">
        <v>56892.55</v>
      </c>
      <c r="U8" s="838">
        <v>58126.95</v>
      </c>
      <c r="V8" s="838">
        <v>58564.95</v>
      </c>
      <c r="W8" s="838">
        <v>61492.25</v>
      </c>
      <c r="X8" s="838">
        <v>64044.7</v>
      </c>
      <c r="Y8" s="838">
        <v>68881.5</v>
      </c>
      <c r="Z8" s="838">
        <v>71856.599999999991</v>
      </c>
      <c r="AA8" s="838">
        <v>71057.600000000006</v>
      </c>
      <c r="AB8" s="838">
        <v>76205.299999999988</v>
      </c>
      <c r="AC8" s="838">
        <v>77040.549999999988</v>
      </c>
      <c r="AD8" s="838">
        <v>77364.800000000003</v>
      </c>
      <c r="AE8" s="838">
        <v>79271.199999999997</v>
      </c>
      <c r="AF8" s="838">
        <v>83013.049999999988</v>
      </c>
      <c r="AG8" s="838">
        <v>84584.1</v>
      </c>
      <c r="AH8" s="838">
        <v>89071.200000000012</v>
      </c>
      <c r="AI8" s="832">
        <v>78148.97</v>
      </c>
      <c r="AJ8" s="832">
        <v>95363.900000000009</v>
      </c>
      <c r="AK8" s="837">
        <v>100943</v>
      </c>
      <c r="AL8" s="837">
        <v>104888.55</v>
      </c>
      <c r="AM8" s="837">
        <v>128585</v>
      </c>
      <c r="AN8" s="837">
        <v>123060</v>
      </c>
      <c r="AO8" s="837">
        <v>127465.2</v>
      </c>
      <c r="AP8" s="837">
        <v>141837</v>
      </c>
      <c r="AQ8" s="837">
        <v>165390</v>
      </c>
      <c r="AR8" s="837">
        <v>173358.9</v>
      </c>
      <c r="AS8" s="837">
        <v>175372.45</v>
      </c>
      <c r="AT8" s="837">
        <v>177084.35</v>
      </c>
      <c r="AU8" s="837">
        <v>177460.6</v>
      </c>
      <c r="AV8" s="837">
        <v>182087.5</v>
      </c>
      <c r="AW8" s="837">
        <v>176290</v>
      </c>
      <c r="AX8" s="837">
        <v>178898.75</v>
      </c>
      <c r="AY8" s="837">
        <v>190572.65</v>
      </c>
      <c r="AZ8" s="837">
        <v>196306.65000000002</v>
      </c>
      <c r="BA8" s="837">
        <v>199274.5</v>
      </c>
      <c r="BB8" s="837">
        <v>201203.05000000002</v>
      </c>
      <c r="BC8" s="837">
        <v>198153.55</v>
      </c>
      <c r="BD8" s="837">
        <v>202231.7</v>
      </c>
      <c r="BE8" s="837">
        <v>204747.25</v>
      </c>
      <c r="BF8" s="837">
        <v>208813</v>
      </c>
      <c r="BG8" s="837">
        <v>205428.34999999998</v>
      </c>
      <c r="BH8" s="837">
        <v>212777.8</v>
      </c>
      <c r="BI8" s="837">
        <v>223299.4</v>
      </c>
      <c r="BJ8" s="837">
        <v>223309.15000000002</v>
      </c>
    </row>
    <row r="9" spans="1:62" s="539" customFormat="1" ht="9" customHeight="1" x14ac:dyDescent="0.3">
      <c r="A9" s="864"/>
      <c r="B9" s="868"/>
      <c r="C9" s="868"/>
      <c r="D9" s="868"/>
      <c r="E9" s="868"/>
      <c r="F9" s="868"/>
      <c r="G9" s="868"/>
      <c r="H9" s="868"/>
      <c r="I9" s="868"/>
      <c r="J9" s="868"/>
      <c r="K9" s="868"/>
      <c r="L9" s="868"/>
      <c r="M9" s="868"/>
      <c r="N9" s="868"/>
      <c r="O9" s="868"/>
      <c r="P9" s="868"/>
      <c r="Q9" s="868"/>
      <c r="R9" s="868"/>
      <c r="S9" s="868"/>
      <c r="T9" s="868"/>
      <c r="U9" s="868"/>
      <c r="V9" s="868"/>
      <c r="W9" s="868"/>
      <c r="X9" s="868"/>
      <c r="Y9" s="868"/>
      <c r="Z9" s="868"/>
      <c r="AA9" s="868"/>
      <c r="AB9" s="868"/>
      <c r="AC9" s="868"/>
      <c r="AD9" s="868"/>
      <c r="AE9" s="868"/>
      <c r="AF9" s="868"/>
      <c r="AG9" s="868"/>
      <c r="AH9" s="868"/>
      <c r="AI9" s="832"/>
      <c r="AJ9" s="832"/>
      <c r="AK9" s="837"/>
      <c r="AL9" s="862"/>
      <c r="AM9" s="862"/>
      <c r="AN9" s="862"/>
      <c r="AO9" s="862"/>
      <c r="AP9" s="862"/>
      <c r="AQ9" s="862"/>
      <c r="AR9" s="862"/>
      <c r="AS9" s="862"/>
      <c r="AT9" s="862"/>
      <c r="AU9" s="862"/>
      <c r="AV9" s="862"/>
      <c r="AW9" s="862"/>
      <c r="AX9" s="862"/>
      <c r="AY9" s="862"/>
      <c r="AZ9" s="862"/>
      <c r="BA9" s="862"/>
      <c r="BB9" s="862"/>
      <c r="BC9" s="862"/>
      <c r="BD9" s="862"/>
      <c r="BE9" s="862"/>
      <c r="BF9" s="862"/>
      <c r="BG9" s="862"/>
      <c r="BH9" s="862"/>
      <c r="BI9" s="862"/>
      <c r="BJ9" s="862"/>
    </row>
    <row r="10" spans="1:62" s="865" customFormat="1" ht="13.65" customHeight="1" x14ac:dyDescent="0.35">
      <c r="A10" s="867" t="s">
        <v>729</v>
      </c>
      <c r="B10" s="866">
        <v>67013.45</v>
      </c>
      <c r="C10" s="866">
        <v>69455.12999999999</v>
      </c>
      <c r="D10" s="866">
        <v>71506.53</v>
      </c>
      <c r="E10" s="866">
        <v>73371.780000000013</v>
      </c>
      <c r="F10" s="866">
        <v>75766.22</v>
      </c>
      <c r="G10" s="866">
        <v>78505.8</v>
      </c>
      <c r="H10" s="866">
        <v>80124.5</v>
      </c>
      <c r="I10" s="866">
        <v>78533.600000000006</v>
      </c>
      <c r="J10" s="866">
        <v>80307.000000000015</v>
      </c>
      <c r="K10" s="866">
        <v>81502.349999999991</v>
      </c>
      <c r="L10" s="866">
        <v>82958.549999999988</v>
      </c>
      <c r="M10" s="866">
        <v>83730.450000000012</v>
      </c>
      <c r="N10" s="866">
        <v>85660.1</v>
      </c>
      <c r="O10" s="866">
        <v>82972.850000000035</v>
      </c>
      <c r="P10" s="866">
        <v>87333.200000000041</v>
      </c>
      <c r="Q10" s="866">
        <v>87767.700000000012</v>
      </c>
      <c r="R10" s="866">
        <v>90685.1</v>
      </c>
      <c r="S10" s="866">
        <v>92500.949999999983</v>
      </c>
      <c r="T10" s="866">
        <v>96310.05</v>
      </c>
      <c r="U10" s="866">
        <v>98527.1</v>
      </c>
      <c r="V10" s="866">
        <v>101020.14999999998</v>
      </c>
      <c r="W10" s="866">
        <v>104202.34999999999</v>
      </c>
      <c r="X10" s="866">
        <v>103921.05</v>
      </c>
      <c r="Y10" s="866">
        <v>106352.24999999999</v>
      </c>
      <c r="Z10" s="866">
        <v>109094</v>
      </c>
      <c r="AA10" s="866">
        <v>113896.35</v>
      </c>
      <c r="AB10" s="866">
        <v>113209.89999999998</v>
      </c>
      <c r="AC10" s="866">
        <v>114653.55</v>
      </c>
      <c r="AD10" s="866">
        <v>120029</v>
      </c>
      <c r="AE10" s="866">
        <v>125611.19999999998</v>
      </c>
      <c r="AF10" s="866">
        <v>129762.95</v>
      </c>
      <c r="AG10" s="866">
        <v>134381.20000000001</v>
      </c>
      <c r="AH10" s="866">
        <v>138343.25</v>
      </c>
      <c r="AI10" s="866">
        <v>142302</v>
      </c>
      <c r="AJ10" s="866">
        <v>149034.57999999999</v>
      </c>
      <c r="AK10" s="852">
        <v>142259</v>
      </c>
      <c r="AL10" s="852">
        <v>139341.43</v>
      </c>
      <c r="AM10" s="852">
        <v>143557.9</v>
      </c>
      <c r="AN10" s="852">
        <v>144552.75</v>
      </c>
      <c r="AO10" s="852">
        <v>134926.22999999998</v>
      </c>
      <c r="AP10" s="852">
        <v>134698.70000000001</v>
      </c>
      <c r="AQ10" s="852">
        <v>136038</v>
      </c>
      <c r="AR10" s="852">
        <v>137043.685</v>
      </c>
      <c r="AS10" s="852">
        <v>124442.625</v>
      </c>
      <c r="AT10" s="852">
        <v>132427.4</v>
      </c>
      <c r="AU10" s="852">
        <v>149907.01999999999</v>
      </c>
      <c r="AV10" s="852">
        <v>150154.685</v>
      </c>
      <c r="AW10" s="852">
        <v>155520.79999999999</v>
      </c>
      <c r="AX10" s="852">
        <v>158988.88</v>
      </c>
      <c r="AY10" s="852">
        <v>160426.17999999996</v>
      </c>
      <c r="AZ10" s="852">
        <v>163051.04499999998</v>
      </c>
      <c r="BA10" s="852">
        <v>162432</v>
      </c>
      <c r="BB10" s="852">
        <v>166919</v>
      </c>
      <c r="BC10" s="852">
        <v>171325.625</v>
      </c>
      <c r="BD10" s="852">
        <v>178411.07499999998</v>
      </c>
      <c r="BE10" s="852">
        <v>174495.36499999999</v>
      </c>
      <c r="BF10" s="852">
        <v>189953.34</v>
      </c>
      <c r="BG10" s="852">
        <v>201702.81600000002</v>
      </c>
      <c r="BH10" s="852">
        <v>206263.38999999998</v>
      </c>
      <c r="BI10" s="852">
        <v>214808.52</v>
      </c>
      <c r="BJ10" s="852">
        <v>231629.39499999999</v>
      </c>
    </row>
    <row r="11" spans="1:62" s="835" customFormat="1" ht="12.25" customHeight="1" x14ac:dyDescent="0.3">
      <c r="A11" s="851" t="s">
        <v>716</v>
      </c>
      <c r="B11" s="838">
        <v>2674.47</v>
      </c>
      <c r="C11" s="838">
        <v>2780.95</v>
      </c>
      <c r="D11" s="838">
        <v>2696.35</v>
      </c>
      <c r="E11" s="838">
        <v>2676.4999999999995</v>
      </c>
      <c r="F11" s="838">
        <v>1913.0500000000002</v>
      </c>
      <c r="G11" s="838">
        <v>3322.3500000000004</v>
      </c>
      <c r="H11" s="838">
        <v>3154.9499999999994</v>
      </c>
      <c r="I11" s="838">
        <v>3201.0999999999995</v>
      </c>
      <c r="J11" s="838">
        <v>5426.2499999999982</v>
      </c>
      <c r="K11" s="838">
        <v>4216.9000000000005</v>
      </c>
      <c r="L11" s="838">
        <v>2822.2000000000003</v>
      </c>
      <c r="M11" s="838">
        <v>2248.35</v>
      </c>
      <c r="N11" s="838">
        <v>1374.8</v>
      </c>
      <c r="O11" s="838">
        <v>1064.8000000000002</v>
      </c>
      <c r="P11" s="838">
        <v>1133.6000000000001</v>
      </c>
      <c r="Q11" s="838">
        <v>1156.4000000000001</v>
      </c>
      <c r="R11" s="838">
        <v>1726.8999999999996</v>
      </c>
      <c r="S11" s="838">
        <v>1169.75</v>
      </c>
      <c r="T11" s="838">
        <v>1622.35</v>
      </c>
      <c r="U11" s="838">
        <v>1792.9499999999998</v>
      </c>
      <c r="V11" s="838">
        <v>2320.4</v>
      </c>
      <c r="W11" s="838">
        <v>2117.1</v>
      </c>
      <c r="X11" s="838">
        <v>1985.3</v>
      </c>
      <c r="Y11" s="838">
        <v>1466.8</v>
      </c>
      <c r="Z11" s="838">
        <v>2142.3000000000002</v>
      </c>
      <c r="AA11" s="838">
        <v>4167.6499999999996</v>
      </c>
      <c r="AB11" s="838">
        <v>2966.9</v>
      </c>
      <c r="AC11" s="838">
        <v>2821.5</v>
      </c>
      <c r="AD11" s="838">
        <v>3027.1</v>
      </c>
      <c r="AE11" s="838">
        <v>4684.2000000000007</v>
      </c>
      <c r="AF11" s="838">
        <v>5837.0999999999995</v>
      </c>
      <c r="AG11" s="838">
        <v>7923.1499999999987</v>
      </c>
      <c r="AH11" s="838">
        <v>10549.550000000001</v>
      </c>
      <c r="AI11" s="838">
        <v>14430.7</v>
      </c>
      <c r="AJ11" s="838">
        <v>15712.049999999997</v>
      </c>
      <c r="AK11" s="838">
        <v>11964</v>
      </c>
      <c r="AL11" s="838">
        <v>10582.949999999999</v>
      </c>
      <c r="AM11" s="838">
        <v>13439.45</v>
      </c>
      <c r="AN11" s="838">
        <v>17847.849999999999</v>
      </c>
      <c r="AO11" s="838">
        <v>12149.75</v>
      </c>
      <c r="AP11" s="838">
        <v>14344.75</v>
      </c>
      <c r="AQ11" s="838">
        <v>18651.450000000004</v>
      </c>
      <c r="AR11" s="838">
        <v>21329.45</v>
      </c>
      <c r="AS11" s="838">
        <v>15995.7</v>
      </c>
      <c r="AT11" s="838">
        <v>19827.400000000001</v>
      </c>
      <c r="AU11" s="838">
        <v>28063.3</v>
      </c>
      <c r="AV11" s="838">
        <v>26007.1</v>
      </c>
      <c r="AW11" s="838">
        <v>25735</v>
      </c>
      <c r="AX11" s="838">
        <v>23628.799999999999</v>
      </c>
      <c r="AY11" s="838">
        <v>25503.15</v>
      </c>
      <c r="AZ11" s="838">
        <v>24399.599999999999</v>
      </c>
      <c r="BA11" s="838">
        <v>21166.6</v>
      </c>
      <c r="BB11" s="838">
        <v>21637.35</v>
      </c>
      <c r="BC11" s="838">
        <v>22550.7</v>
      </c>
      <c r="BD11" s="838">
        <v>23540.5</v>
      </c>
      <c r="BE11" s="838">
        <v>16224.750000000002</v>
      </c>
      <c r="BF11" s="838">
        <v>28154.800000000007</v>
      </c>
      <c r="BG11" s="838">
        <v>30280.6</v>
      </c>
      <c r="BH11" s="838">
        <v>28286</v>
      </c>
      <c r="BI11" s="838">
        <v>33337.9</v>
      </c>
      <c r="BJ11" s="838">
        <v>38101.200000000004</v>
      </c>
    </row>
    <row r="12" spans="1:62" s="835" customFormat="1" ht="12.25" customHeight="1" x14ac:dyDescent="0.3">
      <c r="A12" s="851" t="s">
        <v>715</v>
      </c>
      <c r="B12" s="838">
        <v>64338.979999999996</v>
      </c>
      <c r="C12" s="838">
        <v>66674.179999999993</v>
      </c>
      <c r="D12" s="838">
        <v>68810.179999999993</v>
      </c>
      <c r="E12" s="838">
        <v>70695.280000000013</v>
      </c>
      <c r="F12" s="838">
        <v>73853.17</v>
      </c>
      <c r="G12" s="838">
        <v>75183.45</v>
      </c>
      <c r="H12" s="838">
        <v>76969.55</v>
      </c>
      <c r="I12" s="838">
        <v>75332.5</v>
      </c>
      <c r="J12" s="838">
        <v>74880.750000000015</v>
      </c>
      <c r="K12" s="838">
        <v>77285.45</v>
      </c>
      <c r="L12" s="838">
        <v>80136.349999999991</v>
      </c>
      <c r="M12" s="838">
        <v>81482.100000000006</v>
      </c>
      <c r="N12" s="838">
        <v>84285.3</v>
      </c>
      <c r="O12" s="838">
        <v>81908.050000000032</v>
      </c>
      <c r="P12" s="838">
        <v>86199.600000000035</v>
      </c>
      <c r="Q12" s="838">
        <v>86611.300000000017</v>
      </c>
      <c r="R12" s="838">
        <v>88958.200000000012</v>
      </c>
      <c r="S12" s="838">
        <v>91331.199999999983</v>
      </c>
      <c r="T12" s="838">
        <v>94687.7</v>
      </c>
      <c r="U12" s="838">
        <v>96734.150000000009</v>
      </c>
      <c r="V12" s="838">
        <v>98699.749999999985</v>
      </c>
      <c r="W12" s="838">
        <v>102085.24999999999</v>
      </c>
      <c r="X12" s="838">
        <v>101935.75</v>
      </c>
      <c r="Y12" s="838">
        <v>104885.44999999998</v>
      </c>
      <c r="Z12" s="838">
        <v>106951.7</v>
      </c>
      <c r="AA12" s="838">
        <v>109728.70000000001</v>
      </c>
      <c r="AB12" s="838">
        <v>110242.99999999999</v>
      </c>
      <c r="AC12" s="838">
        <v>111832.05</v>
      </c>
      <c r="AD12" s="838">
        <v>117001.9</v>
      </c>
      <c r="AE12" s="838">
        <v>120926.99999999999</v>
      </c>
      <c r="AF12" s="838">
        <v>123925.84999999999</v>
      </c>
      <c r="AG12" s="838">
        <v>126458.05</v>
      </c>
      <c r="AH12" s="838">
        <v>127793.70000000001</v>
      </c>
      <c r="AI12" s="838">
        <v>127871.3</v>
      </c>
      <c r="AJ12" s="838">
        <v>133322.53</v>
      </c>
      <c r="AK12" s="838">
        <v>130295</v>
      </c>
      <c r="AL12" s="838">
        <v>128758.47999999998</v>
      </c>
      <c r="AM12" s="838">
        <v>130118.45</v>
      </c>
      <c r="AN12" s="838">
        <v>126704.9</v>
      </c>
      <c r="AO12" s="838">
        <v>122776.47999999998</v>
      </c>
      <c r="AP12" s="838">
        <v>120353.95000000001</v>
      </c>
      <c r="AQ12" s="838">
        <v>117386.55</v>
      </c>
      <c r="AR12" s="838">
        <v>115714.235</v>
      </c>
      <c r="AS12" s="838">
        <v>108446.92500000002</v>
      </c>
      <c r="AT12" s="838">
        <v>112599.99999999999</v>
      </c>
      <c r="AU12" s="838">
        <v>121843.27000000002</v>
      </c>
      <c r="AV12" s="838">
        <v>124147.58499999999</v>
      </c>
      <c r="AW12" s="838">
        <v>129785.79999999999</v>
      </c>
      <c r="AX12" s="838">
        <v>135360.08000000002</v>
      </c>
      <c r="AY12" s="838">
        <v>134923.02999999997</v>
      </c>
      <c r="AZ12" s="838">
        <v>138651.44499999998</v>
      </c>
      <c r="BA12" s="838">
        <v>141265.4</v>
      </c>
      <c r="BB12" s="838">
        <v>145281.65</v>
      </c>
      <c r="BC12" s="838">
        <v>148774.92499999999</v>
      </c>
      <c r="BD12" s="838">
        <v>154870.57499999998</v>
      </c>
      <c r="BE12" s="838">
        <v>158270.61499999999</v>
      </c>
      <c r="BF12" s="838">
        <v>161798.52500000002</v>
      </c>
      <c r="BG12" s="838">
        <v>171422.21600000001</v>
      </c>
      <c r="BH12" s="838">
        <v>177977.38999999998</v>
      </c>
      <c r="BI12" s="838">
        <v>181470.62</v>
      </c>
      <c r="BJ12" s="838">
        <v>193528.19499999998</v>
      </c>
    </row>
    <row r="13" spans="1:62" s="539" customFormat="1" ht="12.25" customHeight="1" x14ac:dyDescent="0.3">
      <c r="A13" s="864"/>
      <c r="B13" s="863"/>
      <c r="C13" s="863"/>
      <c r="D13" s="863"/>
      <c r="E13" s="863"/>
      <c r="F13" s="863"/>
      <c r="G13" s="863"/>
      <c r="H13" s="863"/>
      <c r="I13" s="863"/>
      <c r="J13" s="863"/>
      <c r="K13" s="863"/>
      <c r="L13" s="863"/>
      <c r="M13" s="863"/>
      <c r="N13" s="863"/>
      <c r="O13" s="863"/>
      <c r="P13" s="863"/>
      <c r="Q13" s="863"/>
      <c r="R13" s="863"/>
      <c r="S13" s="863"/>
      <c r="T13" s="863"/>
      <c r="U13" s="863"/>
      <c r="V13" s="863"/>
      <c r="W13" s="863"/>
      <c r="X13" s="863"/>
      <c r="Y13" s="863"/>
      <c r="Z13" s="863"/>
      <c r="AA13" s="863"/>
      <c r="AB13" s="863"/>
      <c r="AC13" s="863"/>
      <c r="AD13" s="863"/>
      <c r="AE13" s="863"/>
      <c r="AF13" s="863"/>
      <c r="AG13" s="863"/>
      <c r="AH13" s="863"/>
      <c r="AI13" s="832"/>
      <c r="AJ13" s="832"/>
      <c r="AK13" s="837"/>
      <c r="AL13" s="862"/>
      <c r="AM13" s="862"/>
      <c r="AN13" s="862"/>
      <c r="AO13" s="862"/>
      <c r="AP13" s="862"/>
      <c r="AQ13" s="862"/>
      <c r="AR13" s="862"/>
      <c r="AS13" s="862"/>
      <c r="AT13" s="862"/>
      <c r="AU13" s="862"/>
      <c r="AV13" s="862"/>
      <c r="AW13" s="862"/>
      <c r="AX13" s="862"/>
      <c r="AY13" s="862"/>
      <c r="AZ13" s="862"/>
      <c r="BA13" s="862"/>
      <c r="BB13" s="862"/>
      <c r="BC13" s="862"/>
      <c r="BD13" s="862"/>
      <c r="BE13" s="862"/>
      <c r="BF13" s="862"/>
      <c r="BG13" s="862"/>
      <c r="BH13" s="862"/>
      <c r="BI13" s="862"/>
      <c r="BJ13" s="862"/>
    </row>
    <row r="14" spans="1:62" ht="12.25" customHeight="1" x14ac:dyDescent="0.3">
      <c r="A14" s="854" t="s">
        <v>141</v>
      </c>
      <c r="B14" s="859">
        <v>59024.7</v>
      </c>
      <c r="C14" s="859">
        <v>61119.799999999988</v>
      </c>
      <c r="D14" s="859">
        <v>62527.6</v>
      </c>
      <c r="E14" s="859">
        <v>64485.1</v>
      </c>
      <c r="F14" s="859">
        <v>66561.37</v>
      </c>
      <c r="G14" s="859">
        <v>68389.05</v>
      </c>
      <c r="H14" s="859">
        <v>61579.48</v>
      </c>
      <c r="I14" s="859">
        <v>67619.900000000009</v>
      </c>
      <c r="J14" s="859">
        <v>69707.7</v>
      </c>
      <c r="K14" s="859">
        <v>70420.600000000006</v>
      </c>
      <c r="L14" s="859">
        <v>71540.299999999988</v>
      </c>
      <c r="M14" s="859">
        <v>71583.099999999991</v>
      </c>
      <c r="N14" s="859">
        <v>72422.3</v>
      </c>
      <c r="O14" s="859">
        <v>70343.100000000006</v>
      </c>
      <c r="P14" s="859">
        <v>73596.800000000003</v>
      </c>
      <c r="Q14" s="859">
        <v>73877.5</v>
      </c>
      <c r="R14" s="859">
        <v>74622.099999999991</v>
      </c>
      <c r="S14" s="859">
        <v>77166.3</v>
      </c>
      <c r="T14" s="859">
        <v>80253.7</v>
      </c>
      <c r="U14" s="859">
        <v>81471.7</v>
      </c>
      <c r="V14" s="859">
        <v>83512.5</v>
      </c>
      <c r="W14" s="859">
        <v>86149.4</v>
      </c>
      <c r="X14" s="859">
        <v>85577.8</v>
      </c>
      <c r="Y14" s="859">
        <v>87993.799999999988</v>
      </c>
      <c r="Z14" s="859">
        <v>90271.8</v>
      </c>
      <c r="AA14" s="859">
        <v>92950.549999999988</v>
      </c>
      <c r="AB14" s="859">
        <v>92491.999999999985</v>
      </c>
      <c r="AC14" s="859">
        <v>92943.8</v>
      </c>
      <c r="AD14" s="859">
        <v>94388.349999999991</v>
      </c>
      <c r="AE14" s="859">
        <v>96069.749999999985</v>
      </c>
      <c r="AF14" s="859">
        <v>97399.2</v>
      </c>
      <c r="AG14" s="859">
        <v>97520.400000000009</v>
      </c>
      <c r="AH14" s="859">
        <v>98921.200000000012</v>
      </c>
      <c r="AI14" s="859">
        <v>99688.049999999988</v>
      </c>
      <c r="AJ14" s="859">
        <v>100730.05</v>
      </c>
      <c r="AK14" s="861">
        <v>92667.5</v>
      </c>
      <c r="AL14" s="861">
        <v>88923.900000000009</v>
      </c>
      <c r="AM14" s="861">
        <v>93908.6</v>
      </c>
      <c r="AN14" s="861">
        <v>95560.15</v>
      </c>
      <c r="AO14" s="861">
        <v>86144.35000000002</v>
      </c>
      <c r="AP14" s="861">
        <v>85062.8</v>
      </c>
      <c r="AQ14" s="861">
        <v>86901.3</v>
      </c>
      <c r="AR14" s="861">
        <v>87755.05</v>
      </c>
      <c r="AS14" s="861">
        <v>73761.399999999994</v>
      </c>
      <c r="AT14" s="861">
        <v>80187.349999999991</v>
      </c>
      <c r="AU14" s="861">
        <v>95513.400000000023</v>
      </c>
      <c r="AV14" s="861">
        <v>96836.549999999988</v>
      </c>
      <c r="AW14" s="861">
        <v>100906.6</v>
      </c>
      <c r="AX14" s="861">
        <v>100999.65</v>
      </c>
      <c r="AY14" s="861">
        <v>99666.35</v>
      </c>
      <c r="AZ14" s="861">
        <v>101237</v>
      </c>
      <c r="BA14" s="861">
        <v>100519.2</v>
      </c>
      <c r="BB14" s="861">
        <v>103301.25</v>
      </c>
      <c r="BC14" s="861">
        <v>105595.69999999998</v>
      </c>
      <c r="BD14" s="861">
        <v>108922.35</v>
      </c>
      <c r="BE14" s="861">
        <v>103680.70000000001</v>
      </c>
      <c r="BF14" s="861">
        <v>115047.50000000001</v>
      </c>
      <c r="BG14" s="861">
        <v>120998.84999999999</v>
      </c>
      <c r="BH14" s="861">
        <v>117942.8</v>
      </c>
      <c r="BI14" s="861">
        <v>117866.44999999998</v>
      </c>
      <c r="BJ14" s="861">
        <v>124549.15</v>
      </c>
    </row>
    <row r="15" spans="1:62" s="835" customFormat="1" ht="12.25" customHeight="1" x14ac:dyDescent="0.3">
      <c r="A15" s="851" t="s">
        <v>716</v>
      </c>
      <c r="B15" s="838">
        <v>1978.9</v>
      </c>
      <c r="C15" s="838">
        <v>1736.1</v>
      </c>
      <c r="D15" s="838">
        <v>1550.6</v>
      </c>
      <c r="E15" s="838">
        <v>1580.6</v>
      </c>
      <c r="F15" s="838">
        <v>936.1</v>
      </c>
      <c r="G15" s="838">
        <v>1926</v>
      </c>
      <c r="H15" s="838">
        <v>2283.1999999999998</v>
      </c>
      <c r="I15" s="838">
        <v>2711.6</v>
      </c>
      <c r="J15" s="838">
        <v>5100.2999999999993</v>
      </c>
      <c r="K15" s="838">
        <v>3857.2999999999997</v>
      </c>
      <c r="L15" s="838">
        <v>2493.9</v>
      </c>
      <c r="M15" s="838">
        <v>1689.6999999999998</v>
      </c>
      <c r="N15" s="838">
        <v>670.5</v>
      </c>
      <c r="O15" s="838">
        <v>540.80000000000007</v>
      </c>
      <c r="P15" s="838">
        <v>669.5</v>
      </c>
      <c r="Q15" s="838">
        <v>768.40000000000009</v>
      </c>
      <c r="R15" s="838">
        <v>1398.8</v>
      </c>
      <c r="S15" s="838">
        <v>714.9</v>
      </c>
      <c r="T15" s="838">
        <v>807</v>
      </c>
      <c r="U15" s="838">
        <v>1001.7</v>
      </c>
      <c r="V15" s="838">
        <v>1203.0999999999999</v>
      </c>
      <c r="W15" s="838">
        <v>1198.7</v>
      </c>
      <c r="X15" s="838">
        <v>1206.9000000000001</v>
      </c>
      <c r="Y15" s="838">
        <v>892.9</v>
      </c>
      <c r="Z15" s="838">
        <v>1564.5</v>
      </c>
      <c r="AA15" s="838">
        <v>3091.95</v>
      </c>
      <c r="AB15" s="838">
        <v>2363.4</v>
      </c>
      <c r="AC15" s="838">
        <v>2217.1</v>
      </c>
      <c r="AD15" s="838">
        <v>2217.4499999999998</v>
      </c>
      <c r="AE15" s="838">
        <v>2949.45</v>
      </c>
      <c r="AF15" s="838">
        <v>3508.65</v>
      </c>
      <c r="AG15" s="838">
        <v>4624.3500000000004</v>
      </c>
      <c r="AH15" s="838">
        <v>6753.6</v>
      </c>
      <c r="AI15" s="838">
        <v>9564.25</v>
      </c>
      <c r="AJ15" s="838">
        <v>10923.55</v>
      </c>
      <c r="AK15" s="847">
        <v>9641.75</v>
      </c>
      <c r="AL15" s="847">
        <v>7716.5499999999993</v>
      </c>
      <c r="AM15" s="847">
        <v>11222.15</v>
      </c>
      <c r="AN15" s="847">
        <v>15498.900000000001</v>
      </c>
      <c r="AO15" s="847">
        <v>10625.300000000001</v>
      </c>
      <c r="AP15" s="847">
        <v>12428.7</v>
      </c>
      <c r="AQ15" s="847">
        <v>16257.75</v>
      </c>
      <c r="AR15" s="847">
        <v>18698.95</v>
      </c>
      <c r="AS15" s="847">
        <v>13403.150000000001</v>
      </c>
      <c r="AT15" s="847">
        <v>17064.449999999997</v>
      </c>
      <c r="AU15" s="847">
        <v>24570.15</v>
      </c>
      <c r="AV15" s="847">
        <v>23178.55</v>
      </c>
      <c r="AW15" s="847">
        <v>22880</v>
      </c>
      <c r="AX15" s="847">
        <v>20101.349999999999</v>
      </c>
      <c r="AY15" s="847">
        <v>20627.25</v>
      </c>
      <c r="AZ15" s="847">
        <v>19505.900000000001</v>
      </c>
      <c r="BA15" s="847">
        <v>15982.2</v>
      </c>
      <c r="BB15" s="847">
        <v>16376.6</v>
      </c>
      <c r="BC15" s="847">
        <v>16638.900000000001</v>
      </c>
      <c r="BD15" s="847">
        <v>16170.800000000001</v>
      </c>
      <c r="BE15" s="847">
        <v>9118</v>
      </c>
      <c r="BF15" s="847">
        <v>19522.350000000002</v>
      </c>
      <c r="BG15" s="847">
        <v>19113.2</v>
      </c>
      <c r="BH15" s="847">
        <v>14190.5</v>
      </c>
      <c r="BI15" s="847">
        <v>14540.45</v>
      </c>
      <c r="BJ15" s="847">
        <v>16932.599999999999</v>
      </c>
    </row>
    <row r="16" spans="1:62" s="835" customFormat="1" ht="12.25" customHeight="1" x14ac:dyDescent="0.3">
      <c r="A16" s="851" t="s">
        <v>715</v>
      </c>
      <c r="B16" s="838">
        <v>57045.799999999996</v>
      </c>
      <c r="C16" s="838">
        <v>59383.69999999999</v>
      </c>
      <c r="D16" s="838">
        <v>60977</v>
      </c>
      <c r="E16" s="838">
        <v>62904.5</v>
      </c>
      <c r="F16" s="838">
        <v>65625.26999999999</v>
      </c>
      <c r="G16" s="838">
        <v>66463.05</v>
      </c>
      <c r="H16" s="838">
        <v>59296.280000000006</v>
      </c>
      <c r="I16" s="838">
        <v>64908.3</v>
      </c>
      <c r="J16" s="838">
        <v>64607.399999999994</v>
      </c>
      <c r="K16" s="838">
        <v>66563.3</v>
      </c>
      <c r="L16" s="838">
        <v>69046.399999999994</v>
      </c>
      <c r="M16" s="838">
        <v>69893.399999999994</v>
      </c>
      <c r="N16" s="838">
        <v>71751.8</v>
      </c>
      <c r="O16" s="838">
        <v>69802.3</v>
      </c>
      <c r="P16" s="838">
        <v>72927.3</v>
      </c>
      <c r="Q16" s="838">
        <v>73109.100000000006</v>
      </c>
      <c r="R16" s="838">
        <v>73223.299999999988</v>
      </c>
      <c r="S16" s="838">
        <v>76451.400000000009</v>
      </c>
      <c r="T16" s="838">
        <v>79446.7</v>
      </c>
      <c r="U16" s="838">
        <v>80470</v>
      </c>
      <c r="V16" s="838">
        <v>82309.399999999994</v>
      </c>
      <c r="W16" s="838">
        <v>84950.7</v>
      </c>
      <c r="X16" s="838">
        <v>84370.900000000009</v>
      </c>
      <c r="Y16" s="838">
        <v>87100.9</v>
      </c>
      <c r="Z16" s="838">
        <v>88707.3</v>
      </c>
      <c r="AA16" s="838">
        <v>89858.599999999991</v>
      </c>
      <c r="AB16" s="838">
        <v>90128.599999999991</v>
      </c>
      <c r="AC16" s="838">
        <v>90726.7</v>
      </c>
      <c r="AD16" s="838">
        <v>92170.9</v>
      </c>
      <c r="AE16" s="838">
        <v>93120.299999999988</v>
      </c>
      <c r="AF16" s="838">
        <v>93890.55</v>
      </c>
      <c r="AG16" s="838">
        <v>92896.05</v>
      </c>
      <c r="AH16" s="838">
        <v>92167.6</v>
      </c>
      <c r="AI16" s="832">
        <v>90123.799999999988</v>
      </c>
      <c r="AJ16" s="832">
        <v>89806.5</v>
      </c>
      <c r="AK16" s="837">
        <v>83025.75</v>
      </c>
      <c r="AL16" s="837">
        <v>81207.350000000006</v>
      </c>
      <c r="AM16" s="837">
        <v>82686.450000000012</v>
      </c>
      <c r="AN16" s="837">
        <v>80061.25</v>
      </c>
      <c r="AO16" s="837">
        <v>75519.050000000017</v>
      </c>
      <c r="AP16" s="837">
        <v>72634.100000000006</v>
      </c>
      <c r="AQ16" s="837">
        <v>70643.55</v>
      </c>
      <c r="AR16" s="837">
        <v>69056.100000000006</v>
      </c>
      <c r="AS16" s="837">
        <v>60358.25</v>
      </c>
      <c r="AT16" s="837">
        <v>63122.899999999994</v>
      </c>
      <c r="AU16" s="837">
        <v>70943.250000000015</v>
      </c>
      <c r="AV16" s="837">
        <v>73657.999999999985</v>
      </c>
      <c r="AW16" s="837">
        <v>78026.600000000006</v>
      </c>
      <c r="AX16" s="837">
        <v>80898.3</v>
      </c>
      <c r="AY16" s="837">
        <v>79039.100000000006</v>
      </c>
      <c r="AZ16" s="837">
        <v>81731.100000000006</v>
      </c>
      <c r="BA16" s="837">
        <v>84537</v>
      </c>
      <c r="BB16" s="837">
        <v>86924.65</v>
      </c>
      <c r="BC16" s="837">
        <v>88956.799999999988</v>
      </c>
      <c r="BD16" s="837">
        <v>92751.55</v>
      </c>
      <c r="BE16" s="837">
        <v>94562.700000000012</v>
      </c>
      <c r="BF16" s="837">
        <v>95525.150000000009</v>
      </c>
      <c r="BG16" s="837">
        <v>101885.65</v>
      </c>
      <c r="BH16" s="837">
        <v>103752.3</v>
      </c>
      <c r="BI16" s="837">
        <v>103325.99999999999</v>
      </c>
      <c r="BJ16" s="837">
        <v>107616.54999999999</v>
      </c>
    </row>
    <row r="17" spans="1:62" ht="12.25" customHeight="1" x14ac:dyDescent="0.3">
      <c r="A17" s="860"/>
      <c r="B17" s="859"/>
      <c r="C17" s="859"/>
      <c r="D17" s="859"/>
      <c r="E17" s="859"/>
      <c r="F17" s="859"/>
      <c r="G17" s="859"/>
      <c r="H17" s="859"/>
      <c r="I17" s="859"/>
      <c r="J17" s="859"/>
      <c r="K17" s="859"/>
      <c r="L17" s="859"/>
      <c r="M17" s="859"/>
      <c r="N17" s="859"/>
      <c r="O17" s="859"/>
      <c r="P17" s="859"/>
      <c r="Q17" s="859"/>
      <c r="R17" s="859"/>
      <c r="S17" s="859"/>
      <c r="T17" s="859"/>
      <c r="U17" s="859"/>
      <c r="V17" s="859"/>
      <c r="W17" s="859"/>
      <c r="X17" s="859"/>
      <c r="Y17" s="859"/>
      <c r="Z17" s="859"/>
      <c r="AA17" s="859"/>
      <c r="AB17" s="859"/>
      <c r="AC17" s="859"/>
      <c r="AD17" s="859"/>
      <c r="AE17" s="859"/>
      <c r="AF17" s="859"/>
      <c r="AG17" s="859"/>
      <c r="AH17" s="859"/>
      <c r="AI17" s="832"/>
      <c r="AJ17" s="832"/>
      <c r="AK17" s="837"/>
      <c r="AL17" s="848"/>
      <c r="AM17" s="848"/>
      <c r="AN17" s="848"/>
      <c r="AO17" s="848"/>
      <c r="AP17" s="848"/>
      <c r="AQ17" s="848"/>
      <c r="AR17" s="848"/>
      <c r="AS17" s="848"/>
      <c r="AT17" s="848"/>
      <c r="AU17" s="848"/>
      <c r="AV17" s="848"/>
      <c r="AW17" s="848"/>
      <c r="AX17" s="848"/>
      <c r="AY17" s="848"/>
      <c r="AZ17" s="848"/>
      <c r="BA17" s="848"/>
      <c r="BB17" s="848"/>
      <c r="BC17" s="848"/>
      <c r="BD17" s="848"/>
      <c r="BE17" s="848"/>
      <c r="BF17" s="848"/>
      <c r="BG17" s="848"/>
      <c r="BH17" s="848"/>
      <c r="BI17" s="848"/>
      <c r="BJ17" s="848"/>
    </row>
    <row r="18" spans="1:62" ht="12.25" customHeight="1" x14ac:dyDescent="0.3">
      <c r="A18" s="842" t="s">
        <v>728</v>
      </c>
      <c r="B18" s="841">
        <v>37566.29</v>
      </c>
      <c r="C18" s="841">
        <v>40105.689999999995</v>
      </c>
      <c r="D18" s="841">
        <v>41009.29</v>
      </c>
      <c r="E18" s="841">
        <v>42665.789999999994</v>
      </c>
      <c r="F18" s="841">
        <v>44233.56</v>
      </c>
      <c r="G18" s="841">
        <v>45420.380000000005</v>
      </c>
      <c r="H18" s="841">
        <v>45461.48</v>
      </c>
      <c r="I18" s="841">
        <v>44276.1</v>
      </c>
      <c r="J18" s="841">
        <v>44241.799999999996</v>
      </c>
      <c r="K18" s="841">
        <v>45154.700000000004</v>
      </c>
      <c r="L18" s="841">
        <v>46441.799999999996</v>
      </c>
      <c r="M18" s="841">
        <v>46546.899999999994</v>
      </c>
      <c r="N18" s="841">
        <v>47849.3</v>
      </c>
      <c r="O18" s="841">
        <v>45692.800000000003</v>
      </c>
      <c r="P18" s="841">
        <v>48169.2</v>
      </c>
      <c r="Q18" s="841">
        <v>48522.2</v>
      </c>
      <c r="R18" s="841">
        <v>48847.7</v>
      </c>
      <c r="S18" s="841">
        <v>46161.3</v>
      </c>
      <c r="T18" s="841">
        <v>47028.9</v>
      </c>
      <c r="U18" s="841">
        <v>47119</v>
      </c>
      <c r="V18" s="841">
        <v>48596.5</v>
      </c>
      <c r="W18" s="841">
        <v>50505.1</v>
      </c>
      <c r="X18" s="841">
        <v>49937.700000000004</v>
      </c>
      <c r="Y18" s="841">
        <v>51237.8</v>
      </c>
      <c r="Z18" s="841">
        <v>52456.6</v>
      </c>
      <c r="AA18" s="841">
        <v>53770.600000000006</v>
      </c>
      <c r="AB18" s="841">
        <v>53595.3</v>
      </c>
      <c r="AC18" s="841">
        <v>54334.8</v>
      </c>
      <c r="AD18" s="841">
        <v>54570.399999999994</v>
      </c>
      <c r="AE18" s="841">
        <v>55187.6</v>
      </c>
      <c r="AF18" s="841">
        <v>53525.100000000006</v>
      </c>
      <c r="AG18" s="841">
        <v>52762.100000000006</v>
      </c>
      <c r="AH18" s="841">
        <v>53589.9</v>
      </c>
      <c r="AI18" s="841">
        <v>53120.35</v>
      </c>
      <c r="AJ18" s="841">
        <v>52991.200000000004</v>
      </c>
      <c r="AK18" s="840">
        <v>48983.950000000004</v>
      </c>
      <c r="AL18" s="840">
        <v>45131.850000000006</v>
      </c>
      <c r="AM18" s="840">
        <v>47459.3</v>
      </c>
      <c r="AN18" s="840">
        <v>49448.1</v>
      </c>
      <c r="AO18" s="840">
        <v>41893.200000000004</v>
      </c>
      <c r="AP18" s="840">
        <v>40939.700000000004</v>
      </c>
      <c r="AQ18" s="840">
        <v>37538.699999999997</v>
      </c>
      <c r="AR18" s="840">
        <v>36962.699999999997</v>
      </c>
      <c r="AS18" s="840">
        <v>26838.100000000002</v>
      </c>
      <c r="AT18" s="840">
        <v>33562.9</v>
      </c>
      <c r="AU18" s="840">
        <v>41311.450000000004</v>
      </c>
      <c r="AV18" s="840">
        <v>43281.299999999996</v>
      </c>
      <c r="AW18" s="840">
        <v>45756</v>
      </c>
      <c r="AX18" s="840">
        <v>45029.4</v>
      </c>
      <c r="AY18" s="840">
        <v>42589.35</v>
      </c>
      <c r="AZ18" s="840">
        <v>43417.05</v>
      </c>
      <c r="BA18" s="840">
        <v>43642.55</v>
      </c>
      <c r="BB18" s="840">
        <v>44383.199999999997</v>
      </c>
      <c r="BC18" s="840">
        <v>46058.200000000004</v>
      </c>
      <c r="BD18" s="840">
        <v>46977.100000000006</v>
      </c>
      <c r="BE18" s="840">
        <v>47427.350000000006</v>
      </c>
      <c r="BF18" s="840">
        <v>45696.450000000004</v>
      </c>
      <c r="BG18" s="840">
        <v>48942.750000000007</v>
      </c>
      <c r="BH18" s="840">
        <v>50256.1</v>
      </c>
      <c r="BI18" s="840">
        <v>48889.700000000004</v>
      </c>
      <c r="BJ18" s="840">
        <v>50724.649999999994</v>
      </c>
    </row>
    <row r="19" spans="1:62" s="835" customFormat="1" ht="12.25" customHeight="1" x14ac:dyDescent="0.3">
      <c r="A19" s="839" t="s">
        <v>716</v>
      </c>
      <c r="B19" s="838">
        <v>1329</v>
      </c>
      <c r="C19" s="838">
        <v>829.6</v>
      </c>
      <c r="D19" s="838">
        <v>849.6</v>
      </c>
      <c r="E19" s="838">
        <v>665.2</v>
      </c>
      <c r="F19" s="838">
        <v>329.2</v>
      </c>
      <c r="G19" s="838">
        <v>445.4</v>
      </c>
      <c r="H19" s="838">
        <v>996.8</v>
      </c>
      <c r="I19" s="838">
        <v>1525.9</v>
      </c>
      <c r="J19" s="838">
        <v>2099.1999999999998</v>
      </c>
      <c r="K19" s="838">
        <v>1883.9</v>
      </c>
      <c r="L19" s="838">
        <v>1195.0999999999999</v>
      </c>
      <c r="M19" s="838">
        <v>775.7</v>
      </c>
      <c r="N19" s="838">
        <v>424.3</v>
      </c>
      <c r="O19" s="838">
        <v>316.89999999999998</v>
      </c>
      <c r="P19" s="838">
        <v>506.7</v>
      </c>
      <c r="Q19" s="838">
        <v>644.70000000000005</v>
      </c>
      <c r="R19" s="838">
        <v>1085.5</v>
      </c>
      <c r="S19" s="838">
        <v>528</v>
      </c>
      <c r="T19" s="838">
        <v>273</v>
      </c>
      <c r="U19" s="838">
        <v>125</v>
      </c>
      <c r="V19" s="838">
        <v>75</v>
      </c>
      <c r="W19" s="838">
        <v>75</v>
      </c>
      <c r="X19" s="838">
        <v>75</v>
      </c>
      <c r="Y19" s="838">
        <v>0</v>
      </c>
      <c r="Z19" s="838">
        <v>696.2</v>
      </c>
      <c r="AA19" s="838">
        <v>986.5</v>
      </c>
      <c r="AB19" s="838">
        <v>596.20000000000005</v>
      </c>
      <c r="AC19" s="838">
        <v>785.5</v>
      </c>
      <c r="AD19" s="838">
        <v>584.5</v>
      </c>
      <c r="AE19" s="838">
        <v>664</v>
      </c>
      <c r="AF19" s="838">
        <v>275</v>
      </c>
      <c r="AG19" s="838">
        <v>475</v>
      </c>
      <c r="AH19" s="838">
        <v>1285</v>
      </c>
      <c r="AI19" s="832">
        <v>2885</v>
      </c>
      <c r="AJ19" s="832">
        <v>2696.65</v>
      </c>
      <c r="AK19" s="837">
        <v>3086.65</v>
      </c>
      <c r="AL19" s="837">
        <v>1717.65</v>
      </c>
      <c r="AM19" s="837">
        <v>2931.4</v>
      </c>
      <c r="AN19" s="837">
        <v>6494.6</v>
      </c>
      <c r="AO19" s="837">
        <v>2178.8000000000002</v>
      </c>
      <c r="AP19" s="837">
        <v>3454.4</v>
      </c>
      <c r="AQ19" s="837">
        <v>2637.5</v>
      </c>
      <c r="AR19" s="837">
        <v>3427.5</v>
      </c>
      <c r="AS19" s="837">
        <v>1309.25</v>
      </c>
      <c r="AT19" s="837">
        <v>5343.4</v>
      </c>
      <c r="AU19" s="837">
        <v>6795.6</v>
      </c>
      <c r="AV19" s="837">
        <v>5562.85</v>
      </c>
      <c r="AW19" s="837">
        <v>5189</v>
      </c>
      <c r="AX19" s="837">
        <v>2347.9</v>
      </c>
      <c r="AY19" s="837">
        <v>523.6</v>
      </c>
      <c r="AZ19" s="837">
        <v>547.79999999999995</v>
      </c>
      <c r="BA19" s="837">
        <v>100</v>
      </c>
      <c r="BB19" s="837">
        <v>376.8</v>
      </c>
      <c r="BC19" s="837">
        <v>1297.8</v>
      </c>
      <c r="BD19" s="837">
        <v>1263.8</v>
      </c>
      <c r="BE19" s="837">
        <v>1069</v>
      </c>
      <c r="BF19" s="837">
        <v>573</v>
      </c>
      <c r="BG19" s="837">
        <v>740</v>
      </c>
      <c r="BH19" s="837">
        <v>1163.75</v>
      </c>
      <c r="BI19" s="837">
        <v>1925.8</v>
      </c>
      <c r="BJ19" s="837">
        <v>1550.3</v>
      </c>
    </row>
    <row r="20" spans="1:62" s="835" customFormat="1" ht="12.25" customHeight="1" x14ac:dyDescent="0.3">
      <c r="A20" s="839" t="s">
        <v>715</v>
      </c>
      <c r="B20" s="838">
        <v>36237.29</v>
      </c>
      <c r="C20" s="838">
        <v>39276.089999999997</v>
      </c>
      <c r="D20" s="838">
        <v>40159.69</v>
      </c>
      <c r="E20" s="838">
        <v>42000.59</v>
      </c>
      <c r="F20" s="838">
        <v>43904.36</v>
      </c>
      <c r="G20" s="838">
        <v>44974.98</v>
      </c>
      <c r="H20" s="838">
        <v>44464.68</v>
      </c>
      <c r="I20" s="838">
        <v>42750.2</v>
      </c>
      <c r="J20" s="838">
        <v>42142.6</v>
      </c>
      <c r="K20" s="838">
        <v>43270.8</v>
      </c>
      <c r="L20" s="838">
        <v>45246.7</v>
      </c>
      <c r="M20" s="838">
        <v>45771.199999999997</v>
      </c>
      <c r="N20" s="838">
        <v>47425</v>
      </c>
      <c r="O20" s="838">
        <v>45375.9</v>
      </c>
      <c r="P20" s="838">
        <v>47662.5</v>
      </c>
      <c r="Q20" s="838">
        <v>47877.5</v>
      </c>
      <c r="R20" s="838">
        <v>47762.2</v>
      </c>
      <c r="S20" s="838">
        <v>45633.3</v>
      </c>
      <c r="T20" s="838">
        <v>46755.9</v>
      </c>
      <c r="U20" s="838">
        <v>46994</v>
      </c>
      <c r="V20" s="838">
        <v>48521.5</v>
      </c>
      <c r="W20" s="838">
        <v>50430.1</v>
      </c>
      <c r="X20" s="838">
        <v>49862.700000000004</v>
      </c>
      <c r="Y20" s="838">
        <v>51237.8</v>
      </c>
      <c r="Z20" s="838">
        <v>51760.4</v>
      </c>
      <c r="AA20" s="838">
        <v>52784.100000000006</v>
      </c>
      <c r="AB20" s="838">
        <v>52999.100000000006</v>
      </c>
      <c r="AC20" s="838">
        <v>53549.3</v>
      </c>
      <c r="AD20" s="838">
        <v>53985.899999999994</v>
      </c>
      <c r="AE20" s="838">
        <v>54523.6</v>
      </c>
      <c r="AF20" s="838">
        <v>53250.100000000006</v>
      </c>
      <c r="AG20" s="838">
        <v>52287.100000000006</v>
      </c>
      <c r="AH20" s="838">
        <v>52304.9</v>
      </c>
      <c r="AI20" s="832">
        <v>50235.35</v>
      </c>
      <c r="AJ20" s="832">
        <v>50294.55</v>
      </c>
      <c r="AK20" s="837">
        <v>45897.3</v>
      </c>
      <c r="AL20" s="837">
        <v>43414.200000000004</v>
      </c>
      <c r="AM20" s="837">
        <v>44527.9</v>
      </c>
      <c r="AN20" s="837">
        <v>42953.5</v>
      </c>
      <c r="AO20" s="837">
        <v>39714.400000000001</v>
      </c>
      <c r="AP20" s="837">
        <v>37485.300000000003</v>
      </c>
      <c r="AQ20" s="837">
        <v>34901.199999999997</v>
      </c>
      <c r="AR20" s="837">
        <v>33535.199999999997</v>
      </c>
      <c r="AS20" s="837">
        <v>25528.850000000002</v>
      </c>
      <c r="AT20" s="837">
        <v>28219.5</v>
      </c>
      <c r="AU20" s="837">
        <v>34515.850000000006</v>
      </c>
      <c r="AV20" s="837">
        <v>37718.449999999997</v>
      </c>
      <c r="AW20" s="837">
        <v>40567</v>
      </c>
      <c r="AX20" s="837">
        <v>42681.5</v>
      </c>
      <c r="AY20" s="837">
        <v>42065.75</v>
      </c>
      <c r="AZ20" s="837">
        <v>42869.25</v>
      </c>
      <c r="BA20" s="837">
        <v>43542.55</v>
      </c>
      <c r="BB20" s="837">
        <v>44006.399999999994</v>
      </c>
      <c r="BC20" s="837">
        <v>44760.4</v>
      </c>
      <c r="BD20" s="837">
        <v>45713.3</v>
      </c>
      <c r="BE20" s="837">
        <v>46358.350000000006</v>
      </c>
      <c r="BF20" s="837">
        <v>45123.450000000004</v>
      </c>
      <c r="BG20" s="837">
        <v>48202.750000000007</v>
      </c>
      <c r="BH20" s="837">
        <v>49092.35</v>
      </c>
      <c r="BI20" s="837">
        <v>46963.9</v>
      </c>
      <c r="BJ20" s="837">
        <v>49174.349999999991</v>
      </c>
    </row>
    <row r="21" spans="1:62" ht="7.25" customHeight="1" x14ac:dyDescent="0.3">
      <c r="A21" s="834"/>
      <c r="B21" s="833"/>
      <c r="C21" s="833"/>
      <c r="D21" s="833"/>
      <c r="E21" s="833"/>
      <c r="F21" s="833"/>
      <c r="G21" s="833"/>
      <c r="H21" s="833"/>
      <c r="I21" s="833"/>
      <c r="J21" s="833"/>
      <c r="K21" s="833"/>
      <c r="L21" s="833"/>
      <c r="M21" s="833"/>
      <c r="N21" s="833"/>
      <c r="O21" s="833"/>
      <c r="P21" s="833"/>
      <c r="Q21" s="833"/>
      <c r="R21" s="833"/>
      <c r="S21" s="833"/>
      <c r="T21" s="833"/>
      <c r="U21" s="833"/>
      <c r="V21" s="833"/>
      <c r="W21" s="833"/>
      <c r="X21" s="833"/>
      <c r="Y21" s="833"/>
      <c r="Z21" s="833"/>
      <c r="AA21" s="833"/>
      <c r="AB21" s="833"/>
      <c r="AC21" s="833"/>
      <c r="AD21" s="833"/>
      <c r="AE21" s="833"/>
      <c r="AF21" s="833"/>
      <c r="AG21" s="833"/>
      <c r="AH21" s="833"/>
      <c r="AI21" s="832"/>
      <c r="AJ21" s="832"/>
      <c r="AK21" s="837"/>
      <c r="AL21" s="848"/>
      <c r="AM21" s="848"/>
      <c r="AN21" s="848"/>
      <c r="AO21" s="848"/>
      <c r="AP21" s="848"/>
      <c r="AQ21" s="848"/>
      <c r="AR21" s="848"/>
      <c r="AS21" s="848"/>
      <c r="AT21" s="848"/>
      <c r="AU21" s="848"/>
      <c r="AV21" s="848"/>
      <c r="AW21" s="848"/>
      <c r="AX21" s="848"/>
      <c r="AY21" s="848"/>
      <c r="AZ21" s="848"/>
      <c r="BA21" s="848"/>
      <c r="BB21" s="848"/>
      <c r="BC21" s="848"/>
      <c r="BD21" s="848"/>
      <c r="BE21" s="848"/>
      <c r="BF21" s="848"/>
      <c r="BG21" s="848"/>
      <c r="BH21" s="848"/>
      <c r="BI21" s="848"/>
      <c r="BJ21" s="848"/>
    </row>
    <row r="22" spans="1:62" ht="12.25" customHeight="1" x14ac:dyDescent="0.3">
      <c r="A22" s="842" t="s">
        <v>727</v>
      </c>
      <c r="B22" s="841">
        <v>9699.5399999999991</v>
      </c>
      <c r="C22" s="841">
        <v>10063.74</v>
      </c>
      <c r="D22" s="841">
        <v>10453.24</v>
      </c>
      <c r="E22" s="841">
        <v>10977.939999999999</v>
      </c>
      <c r="F22" s="841">
        <v>11303.14</v>
      </c>
      <c r="G22" s="841">
        <v>11447.7</v>
      </c>
      <c r="H22" s="841">
        <v>11638.6</v>
      </c>
      <c r="I22" s="841">
        <v>11402.5</v>
      </c>
      <c r="J22" s="841">
        <v>11841.1</v>
      </c>
      <c r="K22" s="841">
        <v>12536.8</v>
      </c>
      <c r="L22" s="841">
        <v>12852.800000000001</v>
      </c>
      <c r="M22" s="841">
        <v>13042.5</v>
      </c>
      <c r="N22" s="841">
        <v>13001.4</v>
      </c>
      <c r="O22" s="841">
        <v>13716.599999999999</v>
      </c>
      <c r="P22" s="841">
        <v>14531</v>
      </c>
      <c r="Q22" s="841">
        <v>14805.2</v>
      </c>
      <c r="R22" s="841">
        <v>15229.800000000001</v>
      </c>
      <c r="S22" s="841">
        <v>15093.199999999999</v>
      </c>
      <c r="T22" s="841">
        <v>15525.199999999999</v>
      </c>
      <c r="U22" s="841">
        <v>15599.5</v>
      </c>
      <c r="V22" s="841">
        <v>15828.4</v>
      </c>
      <c r="W22" s="841">
        <v>16616.400000000001</v>
      </c>
      <c r="X22" s="841">
        <v>16273.1</v>
      </c>
      <c r="Y22" s="841">
        <v>17452.599999999999</v>
      </c>
      <c r="Z22" s="841">
        <v>17667.099999999999</v>
      </c>
      <c r="AA22" s="841">
        <v>17115.7</v>
      </c>
      <c r="AB22" s="841">
        <v>16958.7</v>
      </c>
      <c r="AC22" s="841">
        <v>16726.599999999999</v>
      </c>
      <c r="AD22" s="841">
        <v>16007.3</v>
      </c>
      <c r="AE22" s="841">
        <v>15877.9</v>
      </c>
      <c r="AF22" s="841">
        <v>15122.9</v>
      </c>
      <c r="AG22" s="841">
        <v>14547.2</v>
      </c>
      <c r="AH22" s="841">
        <v>14984.300000000001</v>
      </c>
      <c r="AI22" s="841">
        <v>14730.6</v>
      </c>
      <c r="AJ22" s="841">
        <v>14528.6</v>
      </c>
      <c r="AK22" s="840">
        <v>12947.8</v>
      </c>
      <c r="AL22" s="840">
        <v>11585.9</v>
      </c>
      <c r="AM22" s="840">
        <v>12549.1</v>
      </c>
      <c r="AN22" s="840">
        <v>12379.1</v>
      </c>
      <c r="AO22" s="840">
        <v>11852.800000000001</v>
      </c>
      <c r="AP22" s="840">
        <v>11280.3</v>
      </c>
      <c r="AQ22" s="840">
        <v>11272.85</v>
      </c>
      <c r="AR22" s="840">
        <v>11730.75</v>
      </c>
      <c r="AS22" s="840">
        <v>10342.550000000001</v>
      </c>
      <c r="AT22" s="840">
        <v>11087.1</v>
      </c>
      <c r="AU22" s="840">
        <v>12777.099999999999</v>
      </c>
      <c r="AV22" s="840">
        <v>12460.35</v>
      </c>
      <c r="AW22" s="840">
        <v>14652</v>
      </c>
      <c r="AX22" s="840">
        <v>14355.550000000001</v>
      </c>
      <c r="AY22" s="840">
        <v>13896.8</v>
      </c>
      <c r="AZ22" s="840">
        <v>14473.6</v>
      </c>
      <c r="BA22" s="840">
        <v>14538.099999999999</v>
      </c>
      <c r="BB22" s="840">
        <v>15359</v>
      </c>
      <c r="BC22" s="840">
        <v>16803.05</v>
      </c>
      <c r="BD22" s="840">
        <v>19071.099999999999</v>
      </c>
      <c r="BE22" s="840">
        <v>19394.8</v>
      </c>
      <c r="BF22" s="840">
        <v>20816.150000000001</v>
      </c>
      <c r="BG22" s="840">
        <v>22613.75</v>
      </c>
      <c r="BH22" s="840">
        <v>23924.1</v>
      </c>
      <c r="BI22" s="840">
        <v>23788.599999999995</v>
      </c>
      <c r="BJ22" s="840">
        <v>24916.799999999999</v>
      </c>
    </row>
    <row r="23" spans="1:62" s="835" customFormat="1" ht="12.25" customHeight="1" x14ac:dyDescent="0.3">
      <c r="A23" s="839" t="s">
        <v>716</v>
      </c>
      <c r="B23" s="838">
        <v>339.9</v>
      </c>
      <c r="C23" s="838">
        <v>523.9</v>
      </c>
      <c r="D23" s="838">
        <v>608.4</v>
      </c>
      <c r="E23" s="838">
        <v>677.8</v>
      </c>
      <c r="F23" s="838">
        <v>524.29999999999995</v>
      </c>
      <c r="G23" s="838">
        <v>539.5</v>
      </c>
      <c r="H23" s="838">
        <v>812.4</v>
      </c>
      <c r="I23" s="838">
        <v>873.1</v>
      </c>
      <c r="J23" s="838">
        <v>1838.5</v>
      </c>
      <c r="K23" s="838">
        <v>1570.8</v>
      </c>
      <c r="L23" s="838">
        <v>1266.2</v>
      </c>
      <c r="M23" s="838">
        <v>851.4</v>
      </c>
      <c r="N23" s="838">
        <v>213.6</v>
      </c>
      <c r="O23" s="838">
        <v>191.3</v>
      </c>
      <c r="P23" s="838">
        <v>130.19999999999999</v>
      </c>
      <c r="Q23" s="838">
        <v>121.1</v>
      </c>
      <c r="R23" s="838">
        <v>310.7</v>
      </c>
      <c r="S23" s="838">
        <v>184.3</v>
      </c>
      <c r="T23" s="838">
        <v>89.3</v>
      </c>
      <c r="U23" s="838">
        <v>45</v>
      </c>
      <c r="V23" s="838">
        <v>25</v>
      </c>
      <c r="W23" s="838">
        <v>25</v>
      </c>
      <c r="X23" s="838">
        <v>25</v>
      </c>
      <c r="Y23" s="838">
        <v>0</v>
      </c>
      <c r="Z23" s="838">
        <v>66</v>
      </c>
      <c r="AA23" s="838">
        <v>91</v>
      </c>
      <c r="AB23" s="838">
        <v>66</v>
      </c>
      <c r="AC23" s="838">
        <v>0</v>
      </c>
      <c r="AD23" s="838">
        <v>125</v>
      </c>
      <c r="AE23" s="838">
        <v>125</v>
      </c>
      <c r="AF23" s="838">
        <v>125</v>
      </c>
      <c r="AG23" s="838">
        <v>125</v>
      </c>
      <c r="AH23" s="838">
        <v>772.6</v>
      </c>
      <c r="AI23" s="832">
        <v>649</v>
      </c>
      <c r="AJ23" s="832">
        <v>459</v>
      </c>
      <c r="AK23" s="837">
        <v>310</v>
      </c>
      <c r="AL23" s="837">
        <v>60</v>
      </c>
      <c r="AM23" s="837">
        <v>610.1</v>
      </c>
      <c r="AN23" s="837">
        <v>470.1</v>
      </c>
      <c r="AO23" s="837">
        <v>148.6</v>
      </c>
      <c r="AP23" s="837">
        <v>0</v>
      </c>
      <c r="AQ23" s="837">
        <v>600</v>
      </c>
      <c r="AR23" s="837">
        <v>1365.85</v>
      </c>
      <c r="AS23" s="837">
        <v>1097.45</v>
      </c>
      <c r="AT23" s="837">
        <v>2247</v>
      </c>
      <c r="AU23" s="837">
        <v>2477.0500000000002</v>
      </c>
      <c r="AV23" s="837">
        <v>1804.15</v>
      </c>
      <c r="AW23" s="837">
        <v>1823</v>
      </c>
      <c r="AX23" s="837">
        <v>769.1</v>
      </c>
      <c r="AY23" s="837">
        <v>217.3</v>
      </c>
      <c r="AZ23" s="837">
        <v>284.10000000000002</v>
      </c>
      <c r="BA23" s="837">
        <v>70</v>
      </c>
      <c r="BB23" s="837">
        <v>307.60000000000002</v>
      </c>
      <c r="BC23" s="837">
        <v>945.1</v>
      </c>
      <c r="BD23" s="837">
        <v>1013.6</v>
      </c>
      <c r="BE23" s="837">
        <v>853</v>
      </c>
      <c r="BF23" s="837">
        <v>413</v>
      </c>
      <c r="BG23" s="837">
        <v>507</v>
      </c>
      <c r="BH23" s="837">
        <v>604</v>
      </c>
      <c r="BI23" s="837">
        <v>1005.35</v>
      </c>
      <c r="BJ23" s="837">
        <v>773.75</v>
      </c>
    </row>
    <row r="24" spans="1:62" s="835" customFormat="1" ht="12.25" customHeight="1" x14ac:dyDescent="0.3">
      <c r="A24" s="839" t="s">
        <v>715</v>
      </c>
      <c r="B24" s="838">
        <v>9359.64</v>
      </c>
      <c r="C24" s="838">
        <v>9539.84</v>
      </c>
      <c r="D24" s="838">
        <v>9844.84</v>
      </c>
      <c r="E24" s="838">
        <v>10300.14</v>
      </c>
      <c r="F24" s="838">
        <v>10778.84</v>
      </c>
      <c r="G24" s="838">
        <v>10908.2</v>
      </c>
      <c r="H24" s="838">
        <v>10826.2</v>
      </c>
      <c r="I24" s="838">
        <v>10529.4</v>
      </c>
      <c r="J24" s="838">
        <v>10002.6</v>
      </c>
      <c r="K24" s="838">
        <v>10966</v>
      </c>
      <c r="L24" s="838">
        <v>11586.6</v>
      </c>
      <c r="M24" s="838">
        <v>12191.1</v>
      </c>
      <c r="N24" s="838">
        <v>12787.8</v>
      </c>
      <c r="O24" s="838">
        <v>13525.3</v>
      </c>
      <c r="P24" s="838">
        <v>14400.8</v>
      </c>
      <c r="Q24" s="838">
        <v>14684.1</v>
      </c>
      <c r="R24" s="838">
        <v>14919.1</v>
      </c>
      <c r="S24" s="838">
        <v>14908.9</v>
      </c>
      <c r="T24" s="838">
        <v>15435.9</v>
      </c>
      <c r="U24" s="838">
        <v>15554.5</v>
      </c>
      <c r="V24" s="838">
        <v>15803.4</v>
      </c>
      <c r="W24" s="838">
        <v>16591.400000000001</v>
      </c>
      <c r="X24" s="838">
        <v>16248.1</v>
      </c>
      <c r="Y24" s="838">
        <v>17452.599999999999</v>
      </c>
      <c r="Z24" s="838">
        <v>17601.099999999999</v>
      </c>
      <c r="AA24" s="838">
        <v>17024.7</v>
      </c>
      <c r="AB24" s="838">
        <v>16892.7</v>
      </c>
      <c r="AC24" s="838">
        <v>16726.599999999999</v>
      </c>
      <c r="AD24" s="838">
        <v>15882.3</v>
      </c>
      <c r="AE24" s="838">
        <v>15752.9</v>
      </c>
      <c r="AF24" s="838">
        <v>14997.9</v>
      </c>
      <c r="AG24" s="838">
        <v>14422.2</v>
      </c>
      <c r="AH24" s="838">
        <v>14211.7</v>
      </c>
      <c r="AI24" s="832">
        <v>14081.6</v>
      </c>
      <c r="AJ24" s="832">
        <v>14069.6</v>
      </c>
      <c r="AK24" s="837">
        <v>12637.8</v>
      </c>
      <c r="AL24" s="837">
        <v>11525.9</v>
      </c>
      <c r="AM24" s="837">
        <v>11939</v>
      </c>
      <c r="AN24" s="837">
        <v>11909</v>
      </c>
      <c r="AO24" s="837">
        <v>11704.2</v>
      </c>
      <c r="AP24" s="837">
        <v>11280.3</v>
      </c>
      <c r="AQ24" s="837">
        <v>10672.85</v>
      </c>
      <c r="AR24" s="837">
        <v>10364.9</v>
      </c>
      <c r="AS24" s="837">
        <v>9245.1</v>
      </c>
      <c r="AT24" s="837">
        <v>8840.1</v>
      </c>
      <c r="AU24" s="837">
        <v>10300.049999999999</v>
      </c>
      <c r="AV24" s="837">
        <v>10656.2</v>
      </c>
      <c r="AW24" s="837">
        <v>12829</v>
      </c>
      <c r="AX24" s="837">
        <v>13586.45</v>
      </c>
      <c r="AY24" s="837">
        <v>13679.5</v>
      </c>
      <c r="AZ24" s="837">
        <v>14189.5</v>
      </c>
      <c r="BA24" s="837">
        <v>14468.099999999999</v>
      </c>
      <c r="BB24" s="837">
        <v>15051.4</v>
      </c>
      <c r="BC24" s="837">
        <v>15857.949999999999</v>
      </c>
      <c r="BD24" s="837">
        <v>18057.5</v>
      </c>
      <c r="BE24" s="837">
        <v>18541.8</v>
      </c>
      <c r="BF24" s="837">
        <v>20403.150000000001</v>
      </c>
      <c r="BG24" s="837">
        <v>22106.75</v>
      </c>
      <c r="BH24" s="837">
        <v>23320.1</v>
      </c>
      <c r="BI24" s="837">
        <v>22783.249999999996</v>
      </c>
      <c r="BJ24" s="837">
        <v>24143.05</v>
      </c>
    </row>
    <row r="25" spans="1:62" ht="7.25" customHeight="1" x14ac:dyDescent="0.3">
      <c r="A25" s="834"/>
      <c r="B25" s="833"/>
      <c r="C25" s="833"/>
      <c r="D25" s="833"/>
      <c r="E25" s="833"/>
      <c r="F25" s="833"/>
      <c r="G25" s="833"/>
      <c r="H25" s="833"/>
      <c r="I25" s="833"/>
      <c r="J25" s="833"/>
      <c r="K25" s="833"/>
      <c r="L25" s="833"/>
      <c r="M25" s="833"/>
      <c r="N25" s="833"/>
      <c r="O25" s="833"/>
      <c r="P25" s="833"/>
      <c r="Q25" s="833"/>
      <c r="R25" s="833"/>
      <c r="S25" s="833"/>
      <c r="T25" s="833"/>
      <c r="U25" s="833"/>
      <c r="V25" s="833"/>
      <c r="W25" s="833"/>
      <c r="X25" s="833"/>
      <c r="Y25" s="833"/>
      <c r="Z25" s="833"/>
      <c r="AA25" s="833"/>
      <c r="AB25" s="833"/>
      <c r="AC25" s="833"/>
      <c r="AD25" s="833"/>
      <c r="AE25" s="833"/>
      <c r="AF25" s="833"/>
      <c r="AG25" s="833"/>
      <c r="AH25" s="833"/>
      <c r="AI25" s="832"/>
      <c r="AJ25" s="832"/>
      <c r="AK25" s="837"/>
      <c r="AL25" s="848"/>
      <c r="AM25" s="848"/>
      <c r="AN25" s="848"/>
      <c r="AO25" s="848"/>
      <c r="AP25" s="848"/>
      <c r="AQ25" s="848"/>
      <c r="AR25" s="848"/>
      <c r="AS25" s="848"/>
      <c r="AT25" s="848"/>
      <c r="AU25" s="848"/>
      <c r="AV25" s="848"/>
      <c r="AW25" s="848"/>
      <c r="AX25" s="848"/>
      <c r="AY25" s="848"/>
      <c r="AZ25" s="848"/>
      <c r="BA25" s="848"/>
      <c r="BB25" s="848"/>
      <c r="BC25" s="848"/>
      <c r="BD25" s="848"/>
      <c r="BE25" s="848"/>
      <c r="BF25" s="848"/>
      <c r="BG25" s="848"/>
      <c r="BH25" s="848"/>
      <c r="BI25" s="848"/>
      <c r="BJ25" s="848"/>
    </row>
    <row r="26" spans="1:62" ht="12.25" customHeight="1" x14ac:dyDescent="0.3">
      <c r="A26" s="842" t="s">
        <v>726</v>
      </c>
      <c r="B26" s="841">
        <v>11445.17</v>
      </c>
      <c r="C26" s="841">
        <v>10574.07</v>
      </c>
      <c r="D26" s="841">
        <v>11007.57</v>
      </c>
      <c r="E26" s="841">
        <v>10628.87</v>
      </c>
      <c r="F26" s="841">
        <v>10967.17</v>
      </c>
      <c r="G26" s="841">
        <v>10634.97</v>
      </c>
      <c r="H26" s="841">
        <v>4050.5</v>
      </c>
      <c r="I26" s="841">
        <v>11408.7</v>
      </c>
      <c r="J26" s="841">
        <v>12192.2</v>
      </c>
      <c r="K26" s="841">
        <v>12046.5</v>
      </c>
      <c r="L26" s="841">
        <v>11933.1</v>
      </c>
      <c r="M26" s="841">
        <v>11681.1</v>
      </c>
      <c r="N26" s="841">
        <v>11259</v>
      </c>
      <c r="O26" s="841">
        <v>10621.1</v>
      </c>
      <c r="P26" s="841">
        <v>10584</v>
      </c>
      <c r="Q26" s="841">
        <v>10237.5</v>
      </c>
      <c r="R26" s="841">
        <v>10232</v>
      </c>
      <c r="S26" s="841">
        <v>12312.7</v>
      </c>
      <c r="T26" s="841">
        <v>13779.4</v>
      </c>
      <c r="U26" s="841">
        <v>14455</v>
      </c>
      <c r="V26" s="841">
        <v>14843</v>
      </c>
      <c r="W26" s="841">
        <v>14760.9</v>
      </c>
      <c r="X26" s="841">
        <v>15718.800000000001</v>
      </c>
      <c r="Y26" s="841">
        <v>15851.800000000001</v>
      </c>
      <c r="Z26" s="841">
        <v>16765.600000000002</v>
      </c>
      <c r="AA26" s="841">
        <v>17612.599999999999</v>
      </c>
      <c r="AB26" s="841">
        <v>17942.599999999999</v>
      </c>
      <c r="AC26" s="841">
        <v>19159.599999999999</v>
      </c>
      <c r="AD26" s="841">
        <v>19777.3</v>
      </c>
      <c r="AE26" s="841">
        <v>21120.399999999998</v>
      </c>
      <c r="AF26" s="841">
        <v>22280.249999999996</v>
      </c>
      <c r="AG26" s="841">
        <v>22633.199999999997</v>
      </c>
      <c r="AH26" s="841">
        <v>23255</v>
      </c>
      <c r="AI26" s="841">
        <v>22935.45</v>
      </c>
      <c r="AJ26" s="841">
        <v>23555.45</v>
      </c>
      <c r="AK26" s="840">
        <v>23383.75</v>
      </c>
      <c r="AL26" s="840">
        <v>23989.35</v>
      </c>
      <c r="AM26" s="840">
        <v>24762.75</v>
      </c>
      <c r="AN26" s="840">
        <v>23431.95</v>
      </c>
      <c r="AO26" s="840">
        <v>23184.649999999998</v>
      </c>
      <c r="AP26" s="840">
        <v>23198.400000000001</v>
      </c>
      <c r="AQ26" s="840">
        <v>22949.9</v>
      </c>
      <c r="AR26" s="840">
        <v>22366.399999999998</v>
      </c>
      <c r="AS26" s="840">
        <v>23051.699999999997</v>
      </c>
      <c r="AT26" s="840">
        <v>23386.199999999997</v>
      </c>
      <c r="AU26" s="840">
        <v>23819.9</v>
      </c>
      <c r="AV26" s="840">
        <v>22638.15</v>
      </c>
      <c r="AW26" s="840">
        <v>21860</v>
      </c>
      <c r="AX26" s="840">
        <v>21860.15</v>
      </c>
      <c r="AY26" s="840">
        <v>21269.35</v>
      </c>
      <c r="AZ26" s="840">
        <v>22167.350000000002</v>
      </c>
      <c r="BA26" s="840">
        <v>23896.350000000002</v>
      </c>
      <c r="BB26" s="840">
        <v>25332.850000000002</v>
      </c>
      <c r="BC26" s="840">
        <v>27497.750000000004</v>
      </c>
      <c r="BD26" s="840">
        <v>27645.050000000003</v>
      </c>
      <c r="BE26" s="840">
        <v>28001.45</v>
      </c>
      <c r="BF26" s="840">
        <v>29043.250000000004</v>
      </c>
      <c r="BG26" s="840">
        <v>31462.850000000002</v>
      </c>
      <c r="BH26" s="840">
        <v>30778.550000000003</v>
      </c>
      <c r="BI26" s="840">
        <v>33466.049999999996</v>
      </c>
      <c r="BJ26" s="840">
        <v>34729.949999999997</v>
      </c>
    </row>
    <row r="27" spans="1:62" ht="12.25" customHeight="1" x14ac:dyDescent="0.3">
      <c r="A27" s="839" t="s">
        <v>716</v>
      </c>
      <c r="B27" s="838">
        <v>60</v>
      </c>
      <c r="C27" s="838">
        <v>70</v>
      </c>
      <c r="D27" s="838">
        <v>90</v>
      </c>
      <c r="E27" s="838">
        <v>80</v>
      </c>
      <c r="F27" s="838">
        <v>80</v>
      </c>
      <c r="G27" s="838">
        <v>110</v>
      </c>
      <c r="H27" s="838">
        <v>100</v>
      </c>
      <c r="I27" s="838">
        <v>90</v>
      </c>
      <c r="J27" s="838">
        <v>40</v>
      </c>
      <c r="K27" s="838">
        <v>30</v>
      </c>
      <c r="L27" s="838">
        <v>30</v>
      </c>
      <c r="M27" s="838">
        <v>60</v>
      </c>
      <c r="N27" s="838">
        <v>30</v>
      </c>
      <c r="O27" s="838">
        <v>30</v>
      </c>
      <c r="P27" s="838">
        <v>30</v>
      </c>
      <c r="Q27" s="838">
        <v>0</v>
      </c>
      <c r="R27" s="838">
        <v>0</v>
      </c>
      <c r="S27" s="838">
        <v>0</v>
      </c>
      <c r="T27" s="838">
        <v>0</v>
      </c>
      <c r="U27" s="838">
        <v>0</v>
      </c>
      <c r="V27" s="838">
        <v>225</v>
      </c>
      <c r="W27" s="838">
        <v>0</v>
      </c>
      <c r="X27" s="838">
        <v>169</v>
      </c>
      <c r="Y27" s="838">
        <v>0</v>
      </c>
      <c r="Z27" s="838">
        <v>100</v>
      </c>
      <c r="AA27" s="838">
        <v>100</v>
      </c>
      <c r="AB27" s="838">
        <v>0</v>
      </c>
      <c r="AC27" s="838">
        <v>66</v>
      </c>
      <c r="AD27" s="838">
        <v>100</v>
      </c>
      <c r="AE27" s="838">
        <v>100</v>
      </c>
      <c r="AF27" s="838">
        <v>261</v>
      </c>
      <c r="AG27" s="838">
        <v>289.75</v>
      </c>
      <c r="AH27" s="838">
        <v>397</v>
      </c>
      <c r="AI27" s="832">
        <v>247</v>
      </c>
      <c r="AJ27" s="832">
        <v>370</v>
      </c>
      <c r="AK27" s="837">
        <v>50</v>
      </c>
      <c r="AL27" s="837">
        <v>50</v>
      </c>
      <c r="AM27" s="837">
        <v>851.3</v>
      </c>
      <c r="AN27" s="837">
        <v>541.29999999999995</v>
      </c>
      <c r="AO27" s="837">
        <v>269.3</v>
      </c>
      <c r="AP27" s="837">
        <v>463</v>
      </c>
      <c r="AQ27" s="837">
        <v>350</v>
      </c>
      <c r="AR27" s="837">
        <v>0</v>
      </c>
      <c r="AS27" s="837">
        <v>0</v>
      </c>
      <c r="AT27" s="832">
        <v>79.5</v>
      </c>
      <c r="AU27" s="832">
        <v>610</v>
      </c>
      <c r="AV27" s="832">
        <v>325</v>
      </c>
      <c r="AW27" s="832">
        <v>150</v>
      </c>
      <c r="AX27" s="832">
        <v>150</v>
      </c>
      <c r="AY27" s="832">
        <v>850.5</v>
      </c>
      <c r="AZ27" s="832">
        <v>1352</v>
      </c>
      <c r="BA27" s="832">
        <v>1327</v>
      </c>
      <c r="BB27" s="832">
        <v>1113</v>
      </c>
      <c r="BC27" s="832">
        <v>1389.7</v>
      </c>
      <c r="BD27" s="832">
        <v>894.7</v>
      </c>
      <c r="BE27" s="832">
        <v>578.35</v>
      </c>
      <c r="BF27" s="832">
        <v>597.15</v>
      </c>
      <c r="BG27" s="832">
        <v>1439.15</v>
      </c>
      <c r="BH27" s="832">
        <v>996.15</v>
      </c>
      <c r="BI27" s="991">
        <v>1456.65</v>
      </c>
      <c r="BJ27" s="837">
        <v>2252.6999999999998</v>
      </c>
    </row>
    <row r="28" spans="1:62" ht="12.25" customHeight="1" x14ac:dyDescent="0.3">
      <c r="A28" s="839" t="s">
        <v>715</v>
      </c>
      <c r="B28" s="838">
        <v>11385.17</v>
      </c>
      <c r="C28" s="838">
        <v>10504.07</v>
      </c>
      <c r="D28" s="838">
        <v>10917.57</v>
      </c>
      <c r="E28" s="838">
        <v>10548.87</v>
      </c>
      <c r="F28" s="838">
        <v>10887.17</v>
      </c>
      <c r="G28" s="838">
        <v>10524.97</v>
      </c>
      <c r="H28" s="838">
        <v>3950.5</v>
      </c>
      <c r="I28" s="838">
        <v>11318.7</v>
      </c>
      <c r="J28" s="838">
        <v>12152.2</v>
      </c>
      <c r="K28" s="838">
        <v>12016.5</v>
      </c>
      <c r="L28" s="838">
        <v>11903.1</v>
      </c>
      <c r="M28" s="838">
        <v>11621.1</v>
      </c>
      <c r="N28" s="838">
        <v>11229</v>
      </c>
      <c r="O28" s="838">
        <v>10591.1</v>
      </c>
      <c r="P28" s="838">
        <v>10554</v>
      </c>
      <c r="Q28" s="838">
        <v>10237.5</v>
      </c>
      <c r="R28" s="838">
        <v>10232</v>
      </c>
      <c r="S28" s="838">
        <v>12312.7</v>
      </c>
      <c r="T28" s="838">
        <v>13779.4</v>
      </c>
      <c r="U28" s="838">
        <v>14455</v>
      </c>
      <c r="V28" s="838">
        <v>14618</v>
      </c>
      <c r="W28" s="838">
        <v>14760.9</v>
      </c>
      <c r="X28" s="838">
        <v>15549.800000000001</v>
      </c>
      <c r="Y28" s="838">
        <v>15851.800000000001</v>
      </c>
      <c r="Z28" s="838">
        <v>16665.600000000002</v>
      </c>
      <c r="AA28" s="838">
        <v>17512.599999999999</v>
      </c>
      <c r="AB28" s="838">
        <v>17942.599999999999</v>
      </c>
      <c r="AC28" s="838">
        <v>19093.599999999999</v>
      </c>
      <c r="AD28" s="838">
        <v>19677.3</v>
      </c>
      <c r="AE28" s="838">
        <v>21020.399999999998</v>
      </c>
      <c r="AF28" s="838">
        <v>22019.249999999996</v>
      </c>
      <c r="AG28" s="838">
        <v>22343.449999999997</v>
      </c>
      <c r="AH28" s="838">
        <v>22858</v>
      </c>
      <c r="AI28" s="832">
        <v>22688.45</v>
      </c>
      <c r="AJ28" s="832">
        <v>23185.45</v>
      </c>
      <c r="AK28" s="837">
        <v>23333.75</v>
      </c>
      <c r="AL28" s="837">
        <v>23939.35</v>
      </c>
      <c r="AM28" s="837">
        <v>23911.45</v>
      </c>
      <c r="AN28" s="837">
        <v>22890.65</v>
      </c>
      <c r="AO28" s="837">
        <v>22915.35</v>
      </c>
      <c r="AP28" s="837">
        <v>22735.4</v>
      </c>
      <c r="AQ28" s="837">
        <v>22599.9</v>
      </c>
      <c r="AR28" s="837">
        <v>22366.399999999998</v>
      </c>
      <c r="AS28" s="837">
        <v>23051.699999999997</v>
      </c>
      <c r="AT28" s="837">
        <v>23306.699999999997</v>
      </c>
      <c r="AU28" s="837">
        <v>23209.9</v>
      </c>
      <c r="AV28" s="837">
        <v>22313.15</v>
      </c>
      <c r="AW28" s="837">
        <v>21710</v>
      </c>
      <c r="AX28" s="837">
        <v>21710.15</v>
      </c>
      <c r="AY28" s="837">
        <v>20418.849999999999</v>
      </c>
      <c r="AZ28" s="837">
        <v>20815.350000000002</v>
      </c>
      <c r="BA28" s="837">
        <v>22569.350000000002</v>
      </c>
      <c r="BB28" s="837">
        <v>24219.850000000002</v>
      </c>
      <c r="BC28" s="837">
        <v>26108.050000000003</v>
      </c>
      <c r="BD28" s="837">
        <v>26750.350000000002</v>
      </c>
      <c r="BE28" s="837">
        <v>27423.100000000002</v>
      </c>
      <c r="BF28" s="837">
        <v>28446.100000000002</v>
      </c>
      <c r="BG28" s="837">
        <v>30023.7</v>
      </c>
      <c r="BH28" s="837">
        <v>29782.400000000001</v>
      </c>
      <c r="BI28" s="837">
        <v>32009.399999999998</v>
      </c>
      <c r="BJ28" s="837">
        <v>32477.25</v>
      </c>
    </row>
    <row r="29" spans="1:62" ht="7.25" customHeight="1" x14ac:dyDescent="0.3">
      <c r="A29" s="834"/>
      <c r="B29" s="833"/>
      <c r="C29" s="833"/>
      <c r="D29" s="833"/>
      <c r="E29" s="833"/>
      <c r="F29" s="833"/>
      <c r="G29" s="833"/>
      <c r="H29" s="833"/>
      <c r="I29" s="833"/>
      <c r="J29" s="833"/>
      <c r="K29" s="833"/>
      <c r="L29" s="833"/>
      <c r="M29" s="833"/>
      <c r="N29" s="833"/>
      <c r="O29" s="833"/>
      <c r="P29" s="833"/>
      <c r="Q29" s="833"/>
      <c r="R29" s="833"/>
      <c r="S29" s="833"/>
      <c r="T29" s="833"/>
      <c r="U29" s="833"/>
      <c r="V29" s="833"/>
      <c r="W29" s="833"/>
      <c r="X29" s="833"/>
      <c r="Y29" s="833"/>
      <c r="Z29" s="833"/>
      <c r="AA29" s="833"/>
      <c r="AB29" s="833"/>
      <c r="AC29" s="833"/>
      <c r="AD29" s="833"/>
      <c r="AE29" s="833"/>
      <c r="AF29" s="833"/>
      <c r="AG29" s="833"/>
      <c r="AH29" s="833"/>
      <c r="AI29" s="832"/>
      <c r="AJ29" s="832"/>
      <c r="AK29" s="837"/>
      <c r="AL29" s="848"/>
      <c r="AM29" s="848"/>
      <c r="AN29" s="848"/>
      <c r="AO29" s="848"/>
      <c r="AP29" s="848"/>
      <c r="AQ29" s="848"/>
      <c r="AR29" s="848"/>
      <c r="AS29" s="848"/>
      <c r="AT29" s="848"/>
      <c r="AU29" s="848"/>
      <c r="AV29" s="848"/>
      <c r="AW29" s="848"/>
      <c r="AX29" s="848"/>
      <c r="AY29" s="848"/>
      <c r="AZ29" s="848"/>
      <c r="BA29" s="848"/>
      <c r="BB29" s="848"/>
      <c r="BC29" s="848"/>
      <c r="BD29" s="848"/>
      <c r="BE29" s="848"/>
      <c r="BF29" s="848"/>
      <c r="BG29" s="848"/>
      <c r="BH29" s="848"/>
      <c r="BI29" s="848"/>
      <c r="BJ29" s="848"/>
    </row>
    <row r="30" spans="1:62" ht="12.25" customHeight="1" x14ac:dyDescent="0.3">
      <c r="A30" s="842" t="s">
        <v>609</v>
      </c>
      <c r="B30" s="841">
        <v>313.7</v>
      </c>
      <c r="C30" s="841">
        <v>376.3</v>
      </c>
      <c r="D30" s="841">
        <v>57.5</v>
      </c>
      <c r="E30" s="841">
        <v>212.5</v>
      </c>
      <c r="F30" s="841">
        <v>57.5</v>
      </c>
      <c r="G30" s="841">
        <v>886</v>
      </c>
      <c r="H30" s="841">
        <v>428.9</v>
      </c>
      <c r="I30" s="841">
        <v>532.6</v>
      </c>
      <c r="J30" s="841">
        <v>1432.6</v>
      </c>
      <c r="K30" s="841">
        <v>682.6</v>
      </c>
      <c r="L30" s="841">
        <v>312.60000000000002</v>
      </c>
      <c r="M30" s="841">
        <v>312.60000000000002</v>
      </c>
      <c r="N30" s="841">
        <v>312.60000000000002</v>
      </c>
      <c r="O30" s="841">
        <v>312.60000000000002</v>
      </c>
      <c r="P30" s="841">
        <v>312.60000000000002</v>
      </c>
      <c r="Q30" s="841">
        <v>312.60000000000002</v>
      </c>
      <c r="R30" s="841">
        <v>312.60000000000002</v>
      </c>
      <c r="S30" s="841">
        <v>3599.1</v>
      </c>
      <c r="T30" s="841">
        <v>3920.2</v>
      </c>
      <c r="U30" s="841">
        <v>4298.2</v>
      </c>
      <c r="V30" s="841">
        <v>4244.6000000000004</v>
      </c>
      <c r="W30" s="841">
        <v>4267</v>
      </c>
      <c r="X30" s="841">
        <v>3648.2000000000003</v>
      </c>
      <c r="Y30" s="841">
        <v>3451.6000000000004</v>
      </c>
      <c r="Z30" s="841">
        <v>3382.5</v>
      </c>
      <c r="AA30" s="841">
        <v>4451.6500000000005</v>
      </c>
      <c r="AB30" s="841">
        <v>3995.4000000000005</v>
      </c>
      <c r="AC30" s="841">
        <v>2722.8</v>
      </c>
      <c r="AD30" s="841">
        <v>4033.3500000000004</v>
      </c>
      <c r="AE30" s="841">
        <v>3883.85</v>
      </c>
      <c r="AF30" s="841">
        <v>6470.9500000000007</v>
      </c>
      <c r="AG30" s="841">
        <v>7577.9000000000005</v>
      </c>
      <c r="AH30" s="841">
        <v>7092</v>
      </c>
      <c r="AI30" s="841">
        <v>8901.65</v>
      </c>
      <c r="AJ30" s="841">
        <v>9654.7999999999993</v>
      </c>
      <c r="AK30" s="840">
        <v>7352</v>
      </c>
      <c r="AL30" s="840">
        <v>8216.7999999999993</v>
      </c>
      <c r="AM30" s="840">
        <v>9137.4499999999989</v>
      </c>
      <c r="AN30" s="840">
        <v>10301</v>
      </c>
      <c r="AO30" s="840">
        <v>9213.7000000000007</v>
      </c>
      <c r="AP30" s="840">
        <v>9644.4000000000015</v>
      </c>
      <c r="AQ30" s="840">
        <v>15139.85</v>
      </c>
      <c r="AR30" s="840">
        <v>16695.2</v>
      </c>
      <c r="AS30" s="840">
        <v>13529.050000000001</v>
      </c>
      <c r="AT30" s="840">
        <v>12151.15</v>
      </c>
      <c r="AU30" s="840">
        <v>17604.95</v>
      </c>
      <c r="AV30" s="840">
        <v>18456.75</v>
      </c>
      <c r="AW30" s="840">
        <v>18638.599999999999</v>
      </c>
      <c r="AX30" s="840">
        <v>19754.55</v>
      </c>
      <c r="AY30" s="840">
        <v>21910.85</v>
      </c>
      <c r="AZ30" s="840">
        <v>21179</v>
      </c>
      <c r="BA30" s="840">
        <v>18442.2</v>
      </c>
      <c r="BB30" s="840">
        <v>18226.2</v>
      </c>
      <c r="BC30" s="840">
        <v>15236.699999999999</v>
      </c>
      <c r="BD30" s="840">
        <v>15229.1</v>
      </c>
      <c r="BE30" s="840">
        <v>8857.1</v>
      </c>
      <c r="BF30" s="840">
        <v>19491.650000000001</v>
      </c>
      <c r="BG30" s="840">
        <v>17979.5</v>
      </c>
      <c r="BH30" s="840">
        <v>12984.050000000001</v>
      </c>
      <c r="BI30" s="840">
        <v>11722.100000000002</v>
      </c>
      <c r="BJ30" s="840">
        <v>14177.75</v>
      </c>
    </row>
    <row r="31" spans="1:62" ht="12.25" customHeight="1" x14ac:dyDescent="0.3">
      <c r="A31" s="839" t="s">
        <v>716</v>
      </c>
      <c r="B31" s="838">
        <v>250</v>
      </c>
      <c r="C31" s="838">
        <v>312.60000000000002</v>
      </c>
      <c r="D31" s="838">
        <v>2.6</v>
      </c>
      <c r="E31" s="838">
        <v>157.6</v>
      </c>
      <c r="F31" s="838">
        <v>2.6</v>
      </c>
      <c r="G31" s="838">
        <v>831.1</v>
      </c>
      <c r="H31" s="838">
        <v>374</v>
      </c>
      <c r="I31" s="838">
        <v>222.6</v>
      </c>
      <c r="J31" s="838">
        <v>1122.5999999999999</v>
      </c>
      <c r="K31" s="838">
        <v>372.6</v>
      </c>
      <c r="L31" s="838">
        <v>2.6</v>
      </c>
      <c r="M31" s="838">
        <v>2.6</v>
      </c>
      <c r="N31" s="838">
        <v>2.6</v>
      </c>
      <c r="O31" s="838">
        <v>2.6</v>
      </c>
      <c r="P31" s="838">
        <v>2.6</v>
      </c>
      <c r="Q31" s="838">
        <v>2.6</v>
      </c>
      <c r="R31" s="838">
        <v>2.6</v>
      </c>
      <c r="S31" s="838">
        <v>2.6</v>
      </c>
      <c r="T31" s="838">
        <v>444.7</v>
      </c>
      <c r="U31" s="838">
        <v>831.7</v>
      </c>
      <c r="V31" s="838">
        <v>878.09999999999991</v>
      </c>
      <c r="W31" s="838">
        <v>1098.7</v>
      </c>
      <c r="X31" s="838">
        <v>937.9</v>
      </c>
      <c r="Y31" s="838">
        <v>892.9</v>
      </c>
      <c r="Z31" s="838">
        <v>702.3</v>
      </c>
      <c r="AA31" s="838">
        <v>1914.45</v>
      </c>
      <c r="AB31" s="838">
        <v>1701.2</v>
      </c>
      <c r="AC31" s="838">
        <v>1365.6</v>
      </c>
      <c r="AD31" s="838">
        <v>1407.95</v>
      </c>
      <c r="AE31" s="838">
        <v>2060.4499999999998</v>
      </c>
      <c r="AF31" s="838">
        <v>2847.65</v>
      </c>
      <c r="AG31" s="838">
        <v>3734.6000000000004</v>
      </c>
      <c r="AH31" s="838">
        <v>4299</v>
      </c>
      <c r="AI31" s="832">
        <v>5783.25</v>
      </c>
      <c r="AJ31" s="832">
        <v>7397.9</v>
      </c>
      <c r="AK31" s="837">
        <v>6195.1</v>
      </c>
      <c r="AL31" s="837">
        <v>5888.9</v>
      </c>
      <c r="AM31" s="837">
        <v>6829.3499999999995</v>
      </c>
      <c r="AN31" s="837">
        <v>7992.9000000000005</v>
      </c>
      <c r="AO31" s="837">
        <v>8028.6</v>
      </c>
      <c r="AP31" s="837">
        <v>8511.3000000000011</v>
      </c>
      <c r="AQ31" s="837">
        <v>12670.25</v>
      </c>
      <c r="AR31" s="837">
        <v>13905.6</v>
      </c>
      <c r="AS31" s="837">
        <v>10996.45</v>
      </c>
      <c r="AT31" s="837">
        <v>9394.5499999999993</v>
      </c>
      <c r="AU31" s="837">
        <v>14687.5</v>
      </c>
      <c r="AV31" s="837">
        <v>15486.55</v>
      </c>
      <c r="AW31" s="837">
        <v>15718</v>
      </c>
      <c r="AX31" s="837">
        <v>16834.349999999999</v>
      </c>
      <c r="AY31" s="837">
        <v>19035.849999999999</v>
      </c>
      <c r="AZ31" s="837">
        <v>17322</v>
      </c>
      <c r="BA31" s="837">
        <v>14485.2</v>
      </c>
      <c r="BB31" s="837">
        <v>14579.2</v>
      </c>
      <c r="BC31" s="837">
        <v>13006.3</v>
      </c>
      <c r="BD31" s="837">
        <v>12998.7</v>
      </c>
      <c r="BE31" s="837">
        <v>6617.65</v>
      </c>
      <c r="BF31" s="837">
        <v>17939.2</v>
      </c>
      <c r="BG31" s="837">
        <v>16427.05</v>
      </c>
      <c r="BH31" s="837">
        <v>11426.6</v>
      </c>
      <c r="BI31" s="837">
        <v>10152.650000000001</v>
      </c>
      <c r="BJ31" s="837">
        <v>12355.85</v>
      </c>
    </row>
    <row r="32" spans="1:62" ht="12.25" customHeight="1" x14ac:dyDescent="0.3">
      <c r="A32" s="839" t="s">
        <v>715</v>
      </c>
      <c r="B32" s="838">
        <v>63.7</v>
      </c>
      <c r="C32" s="838">
        <v>63.7</v>
      </c>
      <c r="D32" s="838">
        <v>54.9</v>
      </c>
      <c r="E32" s="838">
        <v>54.9</v>
      </c>
      <c r="F32" s="838">
        <v>54.9</v>
      </c>
      <c r="G32" s="838">
        <v>54.9</v>
      </c>
      <c r="H32" s="838">
        <v>54.9</v>
      </c>
      <c r="I32" s="838">
        <v>310</v>
      </c>
      <c r="J32" s="838">
        <v>310</v>
      </c>
      <c r="K32" s="838">
        <v>310</v>
      </c>
      <c r="L32" s="838">
        <v>310</v>
      </c>
      <c r="M32" s="838">
        <v>310</v>
      </c>
      <c r="N32" s="838">
        <v>310</v>
      </c>
      <c r="O32" s="838">
        <v>310</v>
      </c>
      <c r="P32" s="838">
        <v>310</v>
      </c>
      <c r="Q32" s="838">
        <v>310</v>
      </c>
      <c r="R32" s="838">
        <v>310</v>
      </c>
      <c r="S32" s="838">
        <v>3596.5</v>
      </c>
      <c r="T32" s="838">
        <v>3475.5</v>
      </c>
      <c r="U32" s="838">
        <v>3466.5</v>
      </c>
      <c r="V32" s="838">
        <v>3366.5</v>
      </c>
      <c r="W32" s="838">
        <v>3168.3</v>
      </c>
      <c r="X32" s="838">
        <v>2710.3</v>
      </c>
      <c r="Y32" s="838">
        <v>2558.7000000000003</v>
      </c>
      <c r="Z32" s="838">
        <v>2680.2000000000003</v>
      </c>
      <c r="AA32" s="838">
        <v>2537.2000000000003</v>
      </c>
      <c r="AB32" s="838">
        <v>2294.2000000000003</v>
      </c>
      <c r="AC32" s="838">
        <v>1357.2</v>
      </c>
      <c r="AD32" s="838">
        <v>2625.4</v>
      </c>
      <c r="AE32" s="838">
        <v>1823.4</v>
      </c>
      <c r="AF32" s="838">
        <v>3623.3</v>
      </c>
      <c r="AG32" s="838">
        <v>3843.3</v>
      </c>
      <c r="AH32" s="838">
        <v>2793</v>
      </c>
      <c r="AI32" s="832">
        <v>3118.4</v>
      </c>
      <c r="AJ32" s="832">
        <v>2256.9</v>
      </c>
      <c r="AK32" s="837">
        <v>1156.9000000000001</v>
      </c>
      <c r="AL32" s="836">
        <v>2327.9</v>
      </c>
      <c r="AM32" s="836">
        <v>2308.1</v>
      </c>
      <c r="AN32" s="836">
        <v>2308.1</v>
      </c>
      <c r="AO32" s="836">
        <v>1185.0999999999999</v>
      </c>
      <c r="AP32" s="836">
        <v>1133.0999999999999</v>
      </c>
      <c r="AQ32" s="836">
        <v>2469.6</v>
      </c>
      <c r="AR32" s="836">
        <v>2789.6</v>
      </c>
      <c r="AS32" s="836">
        <v>2532.6</v>
      </c>
      <c r="AT32" s="836">
        <v>2756.6</v>
      </c>
      <c r="AU32" s="836">
        <v>2917.45</v>
      </c>
      <c r="AV32" s="836">
        <v>2970.2</v>
      </c>
      <c r="AW32" s="836">
        <v>2920.6</v>
      </c>
      <c r="AX32" s="836">
        <v>2920.2</v>
      </c>
      <c r="AY32" s="836">
        <v>2875</v>
      </c>
      <c r="AZ32" s="836">
        <v>3857</v>
      </c>
      <c r="BA32" s="836">
        <v>3957</v>
      </c>
      <c r="BB32" s="836">
        <v>3647</v>
      </c>
      <c r="BC32" s="836">
        <v>2230.4</v>
      </c>
      <c r="BD32" s="836">
        <v>2230.4</v>
      </c>
      <c r="BE32" s="836">
        <v>2239.4500000000003</v>
      </c>
      <c r="BF32" s="836">
        <v>1552.45</v>
      </c>
      <c r="BG32" s="836">
        <v>1552.45</v>
      </c>
      <c r="BH32" s="836">
        <v>1557.45</v>
      </c>
      <c r="BI32" s="836">
        <v>1569.45</v>
      </c>
      <c r="BJ32" s="836">
        <v>1821.8999999999999</v>
      </c>
    </row>
    <row r="33" spans="1:62" ht="7.25" customHeight="1" x14ac:dyDescent="0.3">
      <c r="A33" s="839"/>
      <c r="B33" s="838"/>
      <c r="C33" s="838"/>
      <c r="D33" s="838"/>
      <c r="E33" s="838"/>
      <c r="F33" s="838"/>
      <c r="G33" s="838"/>
      <c r="H33" s="838"/>
      <c r="I33" s="838"/>
      <c r="J33" s="838"/>
      <c r="K33" s="838"/>
      <c r="L33" s="838"/>
      <c r="M33" s="838"/>
      <c r="N33" s="838"/>
      <c r="O33" s="838"/>
      <c r="P33" s="838"/>
      <c r="Q33" s="838"/>
      <c r="R33" s="838"/>
      <c r="S33" s="838"/>
      <c r="T33" s="838"/>
      <c r="U33" s="838"/>
      <c r="V33" s="838"/>
      <c r="W33" s="838"/>
      <c r="X33" s="838"/>
      <c r="Y33" s="838"/>
      <c r="Z33" s="838"/>
      <c r="AA33" s="838"/>
      <c r="AB33" s="838"/>
      <c r="AC33" s="838"/>
      <c r="AD33" s="838"/>
      <c r="AE33" s="838"/>
      <c r="AF33" s="838"/>
      <c r="AG33" s="838"/>
      <c r="AH33" s="838"/>
      <c r="AI33" s="832"/>
      <c r="AJ33" s="832"/>
      <c r="AK33" s="837"/>
      <c r="AL33" s="848"/>
      <c r="AM33" s="848"/>
      <c r="AN33" s="848"/>
      <c r="AO33" s="848"/>
      <c r="AP33" s="848"/>
      <c r="AQ33" s="848"/>
      <c r="AR33" s="848"/>
      <c r="AS33" s="848"/>
      <c r="AT33" s="848"/>
      <c r="AU33" s="848"/>
      <c r="AV33" s="848"/>
      <c r="AW33" s="848"/>
      <c r="AX33" s="848"/>
      <c r="AY33" s="848"/>
      <c r="AZ33" s="848"/>
      <c r="BA33" s="848"/>
      <c r="BB33" s="848"/>
      <c r="BC33" s="848"/>
      <c r="BD33" s="848"/>
      <c r="BE33" s="848"/>
      <c r="BF33" s="848"/>
      <c r="BG33" s="848"/>
      <c r="BH33" s="848"/>
      <c r="BI33" s="848"/>
      <c r="BJ33" s="848"/>
    </row>
    <row r="34" spans="1:62" s="156" customFormat="1" ht="12.25" customHeight="1" x14ac:dyDescent="0.3">
      <c r="A34" s="857" t="s">
        <v>725</v>
      </c>
      <c r="B34" s="841">
        <v>63.7</v>
      </c>
      <c r="C34" s="841">
        <v>63.7</v>
      </c>
      <c r="D34" s="841">
        <v>54.9</v>
      </c>
      <c r="E34" s="841">
        <v>54.9</v>
      </c>
      <c r="F34" s="841">
        <v>54.9</v>
      </c>
      <c r="G34" s="841">
        <v>54.9</v>
      </c>
      <c r="H34" s="841">
        <v>54.9</v>
      </c>
      <c r="I34" s="841">
        <v>0</v>
      </c>
      <c r="J34" s="841">
        <v>0</v>
      </c>
      <c r="K34" s="841">
        <v>0</v>
      </c>
      <c r="L34" s="841">
        <v>0</v>
      </c>
      <c r="M34" s="841">
        <v>0</v>
      </c>
      <c r="N34" s="841">
        <v>0</v>
      </c>
      <c r="O34" s="841">
        <v>0</v>
      </c>
      <c r="P34" s="841">
        <v>0</v>
      </c>
      <c r="Q34" s="841">
        <v>0</v>
      </c>
      <c r="R34" s="841">
        <v>0</v>
      </c>
      <c r="S34" s="841">
        <v>3286.5</v>
      </c>
      <c r="T34" s="841">
        <v>3085.5</v>
      </c>
      <c r="U34" s="841">
        <v>3373.5</v>
      </c>
      <c r="V34" s="841">
        <v>3298.5</v>
      </c>
      <c r="W34" s="841">
        <v>3288.3</v>
      </c>
      <c r="X34" s="841">
        <v>2568.8000000000002</v>
      </c>
      <c r="Y34" s="841">
        <v>2368.8000000000002</v>
      </c>
      <c r="Z34" s="841">
        <v>2353.8000000000002</v>
      </c>
      <c r="AA34" s="841">
        <v>2378.8000000000002</v>
      </c>
      <c r="AB34" s="841">
        <v>2420.8000000000002</v>
      </c>
      <c r="AC34" s="841">
        <v>1413.8</v>
      </c>
      <c r="AD34" s="841">
        <v>2322</v>
      </c>
      <c r="AE34" s="841">
        <v>1820</v>
      </c>
      <c r="AF34" s="841">
        <v>4238.3500000000004</v>
      </c>
      <c r="AG34" s="841">
        <v>4673.5</v>
      </c>
      <c r="AH34" s="841">
        <v>2552</v>
      </c>
      <c r="AI34" s="841">
        <v>4356.8999999999996</v>
      </c>
      <c r="AJ34" s="841">
        <v>3249.4</v>
      </c>
      <c r="AK34" s="840">
        <v>1970</v>
      </c>
      <c r="AL34" s="840">
        <v>3222</v>
      </c>
      <c r="AM34" s="840">
        <v>3755.45</v>
      </c>
      <c r="AN34" s="840">
        <v>3558.95</v>
      </c>
      <c r="AO34" s="840">
        <v>2235.9499999999998</v>
      </c>
      <c r="AP34" s="840">
        <v>1683.95</v>
      </c>
      <c r="AQ34" s="840">
        <v>2322</v>
      </c>
      <c r="AR34" s="840">
        <v>2542</v>
      </c>
      <c r="AS34" s="840">
        <v>2285</v>
      </c>
      <c r="AT34" s="840">
        <v>2509</v>
      </c>
      <c r="AU34" s="840">
        <v>2450</v>
      </c>
      <c r="AV34" s="840">
        <v>3896.6</v>
      </c>
      <c r="AW34" s="840">
        <v>3797</v>
      </c>
      <c r="AX34" s="840">
        <v>3796.6</v>
      </c>
      <c r="AY34" s="840">
        <v>4081.6</v>
      </c>
      <c r="AZ34" s="840">
        <v>4183.6000000000004</v>
      </c>
      <c r="BA34" s="840">
        <v>4043.6</v>
      </c>
      <c r="BB34" s="840">
        <v>3598.6</v>
      </c>
      <c r="BC34" s="840">
        <v>2432</v>
      </c>
      <c r="BD34" s="840">
        <v>2682</v>
      </c>
      <c r="BE34" s="840">
        <v>2941.05</v>
      </c>
      <c r="BF34" s="840">
        <v>2958.05</v>
      </c>
      <c r="BG34" s="840">
        <v>3458.05</v>
      </c>
      <c r="BH34" s="840">
        <v>2963.05</v>
      </c>
      <c r="BI34" s="840">
        <v>2475.0500000000002</v>
      </c>
      <c r="BJ34" s="840">
        <v>2981.05</v>
      </c>
    </row>
    <row r="35" spans="1:62" ht="12.25" customHeight="1" x14ac:dyDescent="0.3">
      <c r="A35" s="856" t="s">
        <v>716</v>
      </c>
      <c r="B35" s="838">
        <v>0</v>
      </c>
      <c r="C35" s="838">
        <v>0</v>
      </c>
      <c r="D35" s="838">
        <v>0</v>
      </c>
      <c r="E35" s="838">
        <v>0</v>
      </c>
      <c r="F35" s="838">
        <v>0</v>
      </c>
      <c r="G35" s="838">
        <v>0</v>
      </c>
      <c r="H35" s="838">
        <v>0</v>
      </c>
      <c r="I35" s="838">
        <v>0</v>
      </c>
      <c r="J35" s="838">
        <v>0</v>
      </c>
      <c r="K35" s="838">
        <v>0</v>
      </c>
      <c r="L35" s="838">
        <v>0</v>
      </c>
      <c r="M35" s="838">
        <v>0</v>
      </c>
      <c r="N35" s="838">
        <v>0</v>
      </c>
      <c r="O35" s="838">
        <v>0</v>
      </c>
      <c r="P35" s="838">
        <v>0</v>
      </c>
      <c r="Q35" s="838">
        <v>0</v>
      </c>
      <c r="R35" s="838">
        <v>0</v>
      </c>
      <c r="S35" s="838">
        <v>0</v>
      </c>
      <c r="T35" s="838">
        <v>20</v>
      </c>
      <c r="U35" s="838">
        <v>57</v>
      </c>
      <c r="V35" s="838">
        <v>32</v>
      </c>
      <c r="W35" s="838">
        <v>120</v>
      </c>
      <c r="X35" s="838">
        <v>0</v>
      </c>
      <c r="Y35" s="838">
        <v>0</v>
      </c>
      <c r="Z35" s="838">
        <v>60</v>
      </c>
      <c r="AA35" s="838">
        <v>328</v>
      </c>
      <c r="AB35" s="838">
        <v>370</v>
      </c>
      <c r="AC35" s="838">
        <v>300</v>
      </c>
      <c r="AD35" s="838">
        <v>200</v>
      </c>
      <c r="AE35" s="838">
        <v>500</v>
      </c>
      <c r="AF35" s="838">
        <v>1103.3499999999999</v>
      </c>
      <c r="AG35" s="838">
        <v>1538.5</v>
      </c>
      <c r="AH35" s="838">
        <v>687</v>
      </c>
      <c r="AI35" s="832">
        <v>1521.9</v>
      </c>
      <c r="AJ35" s="832">
        <v>1275.9000000000001</v>
      </c>
      <c r="AK35" s="837">
        <v>996.5</v>
      </c>
      <c r="AL35" s="837">
        <v>996.5</v>
      </c>
      <c r="AM35" s="837">
        <v>1594.95</v>
      </c>
      <c r="AN35" s="837">
        <v>1398.45</v>
      </c>
      <c r="AO35" s="837">
        <v>1198.45</v>
      </c>
      <c r="AP35" s="837">
        <v>698.45</v>
      </c>
      <c r="AQ35" s="837">
        <v>0</v>
      </c>
      <c r="AR35" s="837">
        <v>0</v>
      </c>
      <c r="AS35" s="837">
        <v>0</v>
      </c>
      <c r="AT35" s="837">
        <v>0</v>
      </c>
      <c r="AU35" s="837">
        <v>0</v>
      </c>
      <c r="AV35" s="837">
        <v>1080</v>
      </c>
      <c r="AW35" s="837">
        <v>980</v>
      </c>
      <c r="AX35" s="837">
        <v>980</v>
      </c>
      <c r="AY35" s="837">
        <v>1265</v>
      </c>
      <c r="AZ35" s="837">
        <v>385</v>
      </c>
      <c r="BA35" s="837">
        <v>245</v>
      </c>
      <c r="BB35" s="837">
        <v>0</v>
      </c>
      <c r="BC35" s="837">
        <v>250</v>
      </c>
      <c r="BD35" s="837">
        <v>500</v>
      </c>
      <c r="BE35" s="837">
        <v>750</v>
      </c>
      <c r="BF35" s="837">
        <v>1454</v>
      </c>
      <c r="BG35" s="837">
        <v>1954</v>
      </c>
      <c r="BH35" s="837">
        <v>1454</v>
      </c>
      <c r="BI35" s="837">
        <v>954</v>
      </c>
      <c r="BJ35" s="837">
        <v>1210</v>
      </c>
    </row>
    <row r="36" spans="1:62" ht="12.25" customHeight="1" x14ac:dyDescent="0.3">
      <c r="A36" s="856" t="s">
        <v>715</v>
      </c>
      <c r="B36" s="838">
        <v>63.7</v>
      </c>
      <c r="C36" s="838">
        <v>63.7</v>
      </c>
      <c r="D36" s="838">
        <v>54.9</v>
      </c>
      <c r="E36" s="838">
        <v>54.9</v>
      </c>
      <c r="F36" s="838">
        <v>54.9</v>
      </c>
      <c r="G36" s="838">
        <v>54.9</v>
      </c>
      <c r="H36" s="838">
        <v>54.9</v>
      </c>
      <c r="I36" s="838">
        <v>0</v>
      </c>
      <c r="J36" s="838">
        <v>0</v>
      </c>
      <c r="K36" s="838">
        <v>0</v>
      </c>
      <c r="L36" s="838">
        <v>0</v>
      </c>
      <c r="M36" s="838">
        <v>0</v>
      </c>
      <c r="N36" s="838">
        <v>0</v>
      </c>
      <c r="O36" s="838">
        <v>0</v>
      </c>
      <c r="P36" s="838">
        <v>0</v>
      </c>
      <c r="Q36" s="838">
        <v>0</v>
      </c>
      <c r="R36" s="838">
        <v>0</v>
      </c>
      <c r="S36" s="838">
        <v>3286.5</v>
      </c>
      <c r="T36" s="838">
        <v>3065.5</v>
      </c>
      <c r="U36" s="838">
        <v>3316.5</v>
      </c>
      <c r="V36" s="838">
        <v>3266.5</v>
      </c>
      <c r="W36" s="838">
        <v>3168.3</v>
      </c>
      <c r="X36" s="838">
        <v>2568.8000000000002</v>
      </c>
      <c r="Y36" s="838">
        <v>2368.8000000000002</v>
      </c>
      <c r="Z36" s="838">
        <v>2293.8000000000002</v>
      </c>
      <c r="AA36" s="838">
        <v>2050.8000000000002</v>
      </c>
      <c r="AB36" s="838">
        <v>2050.8000000000002</v>
      </c>
      <c r="AC36" s="838">
        <v>1113.8</v>
      </c>
      <c r="AD36" s="838">
        <v>2122</v>
      </c>
      <c r="AE36" s="838">
        <v>1320</v>
      </c>
      <c r="AF36" s="838">
        <v>3135</v>
      </c>
      <c r="AG36" s="838">
        <v>3135</v>
      </c>
      <c r="AH36" s="838">
        <v>1865</v>
      </c>
      <c r="AI36" s="832">
        <v>2835</v>
      </c>
      <c r="AJ36" s="832">
        <v>1973.5</v>
      </c>
      <c r="AK36" s="837">
        <v>973.5</v>
      </c>
      <c r="AL36" s="837">
        <v>2225.5</v>
      </c>
      <c r="AM36" s="837">
        <v>2160.5</v>
      </c>
      <c r="AN36" s="837">
        <v>2160.5</v>
      </c>
      <c r="AO36" s="837">
        <v>1037.5</v>
      </c>
      <c r="AP36" s="837">
        <v>985.5</v>
      </c>
      <c r="AQ36" s="837">
        <v>2322</v>
      </c>
      <c r="AR36" s="837">
        <v>2542</v>
      </c>
      <c r="AS36" s="837">
        <v>2285</v>
      </c>
      <c r="AT36" s="837">
        <v>2509</v>
      </c>
      <c r="AU36" s="837">
        <v>2450</v>
      </c>
      <c r="AV36" s="837">
        <v>2816.6</v>
      </c>
      <c r="AW36" s="837">
        <v>2817</v>
      </c>
      <c r="AX36" s="837">
        <v>2816.6</v>
      </c>
      <c r="AY36" s="837">
        <v>2816.6</v>
      </c>
      <c r="AZ36" s="837">
        <v>3798.6</v>
      </c>
      <c r="BA36" s="837">
        <v>3798.6</v>
      </c>
      <c r="BB36" s="837">
        <v>3598.6</v>
      </c>
      <c r="BC36" s="837">
        <v>2182</v>
      </c>
      <c r="BD36" s="837">
        <v>2182</v>
      </c>
      <c r="BE36" s="837">
        <v>2191.0500000000002</v>
      </c>
      <c r="BF36" s="837">
        <v>1504.05</v>
      </c>
      <c r="BG36" s="837">
        <v>1504.05</v>
      </c>
      <c r="BH36" s="837">
        <v>1509.05</v>
      </c>
      <c r="BI36" s="837">
        <v>1521.05</v>
      </c>
      <c r="BJ36" s="837">
        <v>1771.05</v>
      </c>
    </row>
    <row r="37" spans="1:62" ht="7.25" customHeight="1" x14ac:dyDescent="0.3">
      <c r="A37" s="858"/>
      <c r="B37" s="838"/>
      <c r="C37" s="838"/>
      <c r="D37" s="838"/>
      <c r="E37" s="838"/>
      <c r="F37" s="838"/>
      <c r="G37" s="838"/>
      <c r="H37" s="838"/>
      <c r="I37" s="838"/>
      <c r="J37" s="838"/>
      <c r="K37" s="838"/>
      <c r="L37" s="838"/>
      <c r="M37" s="838"/>
      <c r="N37" s="838"/>
      <c r="O37" s="838"/>
      <c r="P37" s="838"/>
      <c r="Q37" s="838"/>
      <c r="R37" s="838"/>
      <c r="S37" s="838"/>
      <c r="T37" s="838"/>
      <c r="U37" s="838"/>
      <c r="V37" s="838"/>
      <c r="W37" s="838"/>
      <c r="X37" s="838"/>
      <c r="Y37" s="838"/>
      <c r="Z37" s="838"/>
      <c r="AA37" s="838"/>
      <c r="AB37" s="838"/>
      <c r="AC37" s="838"/>
      <c r="AD37" s="838"/>
      <c r="AE37" s="838"/>
      <c r="AF37" s="838"/>
      <c r="AG37" s="838"/>
      <c r="AH37" s="838"/>
      <c r="AI37" s="832"/>
      <c r="AJ37" s="832"/>
      <c r="AK37" s="837"/>
      <c r="AL37" s="848"/>
      <c r="AM37" s="848"/>
      <c r="AN37" s="848"/>
      <c r="AO37" s="848"/>
      <c r="AP37" s="848"/>
      <c r="AQ37" s="848"/>
      <c r="AR37" s="848"/>
      <c r="AS37" s="848"/>
      <c r="AT37" s="848"/>
      <c r="AU37" s="848"/>
      <c r="AV37" s="848"/>
      <c r="AW37" s="848"/>
      <c r="AX37" s="848"/>
      <c r="AY37" s="848"/>
      <c r="AZ37" s="848"/>
      <c r="BA37" s="848"/>
      <c r="BB37" s="848"/>
      <c r="BC37" s="848"/>
      <c r="BD37" s="848"/>
      <c r="BE37" s="848"/>
      <c r="BF37" s="848"/>
      <c r="BG37" s="848"/>
      <c r="BH37" s="848"/>
      <c r="BI37" s="848"/>
      <c r="BJ37" s="848"/>
    </row>
    <row r="38" spans="1:62" s="156" customFormat="1" ht="12.25" customHeight="1" x14ac:dyDescent="0.3">
      <c r="A38" s="857" t="s">
        <v>724</v>
      </c>
      <c r="B38" s="841">
        <v>250</v>
      </c>
      <c r="C38" s="841">
        <v>312.60000000000002</v>
      </c>
      <c r="D38" s="841">
        <v>2.6</v>
      </c>
      <c r="E38" s="841">
        <v>157.6</v>
      </c>
      <c r="F38" s="841">
        <v>2.6</v>
      </c>
      <c r="G38" s="841">
        <v>831.1</v>
      </c>
      <c r="H38" s="841">
        <v>374</v>
      </c>
      <c r="I38" s="841">
        <v>532.6</v>
      </c>
      <c r="J38" s="841">
        <v>1432.6</v>
      </c>
      <c r="K38" s="841">
        <v>682.6</v>
      </c>
      <c r="L38" s="841">
        <v>312.60000000000002</v>
      </c>
      <c r="M38" s="841">
        <v>312.60000000000002</v>
      </c>
      <c r="N38" s="841">
        <v>312.60000000000002</v>
      </c>
      <c r="O38" s="841">
        <v>312.60000000000002</v>
      </c>
      <c r="P38" s="841">
        <v>312.60000000000002</v>
      </c>
      <c r="Q38" s="841">
        <v>312.60000000000002</v>
      </c>
      <c r="R38" s="841">
        <v>312.60000000000002</v>
      </c>
      <c r="S38" s="841">
        <v>312.60000000000002</v>
      </c>
      <c r="T38" s="841">
        <v>834.7</v>
      </c>
      <c r="U38" s="841">
        <v>924.7</v>
      </c>
      <c r="V38" s="841">
        <v>946.09999999999991</v>
      </c>
      <c r="W38" s="841">
        <v>978.7</v>
      </c>
      <c r="X38" s="841">
        <v>1079.4000000000001</v>
      </c>
      <c r="Y38" s="841">
        <v>1082.8</v>
      </c>
      <c r="Z38" s="841">
        <v>1028.6999999999998</v>
      </c>
      <c r="AA38" s="841">
        <v>2072.85</v>
      </c>
      <c r="AB38" s="841">
        <v>1574.6000000000001</v>
      </c>
      <c r="AC38" s="841">
        <v>1309</v>
      </c>
      <c r="AD38" s="841">
        <v>1711.35</v>
      </c>
      <c r="AE38" s="841">
        <v>2063.85</v>
      </c>
      <c r="AF38" s="841">
        <v>2232.6</v>
      </c>
      <c r="AG38" s="841">
        <v>2904.4000000000005</v>
      </c>
      <c r="AH38" s="841">
        <v>4540</v>
      </c>
      <c r="AI38" s="841">
        <v>4544.75</v>
      </c>
      <c r="AJ38" s="841">
        <v>6405.4</v>
      </c>
      <c r="AK38" s="840">
        <v>5382</v>
      </c>
      <c r="AL38" s="840">
        <v>4994.7999999999993</v>
      </c>
      <c r="AM38" s="840">
        <v>5382</v>
      </c>
      <c r="AN38" s="840">
        <v>6742.0500000000011</v>
      </c>
      <c r="AO38" s="840">
        <v>6977.7500000000009</v>
      </c>
      <c r="AP38" s="840">
        <v>7960.4500000000007</v>
      </c>
      <c r="AQ38" s="840">
        <v>12817.85</v>
      </c>
      <c r="AR38" s="840">
        <v>14153.2</v>
      </c>
      <c r="AS38" s="840">
        <v>11244.050000000001</v>
      </c>
      <c r="AT38" s="840">
        <v>9642.15</v>
      </c>
      <c r="AU38" s="840">
        <v>15154.95</v>
      </c>
      <c r="AV38" s="840">
        <v>14560.15</v>
      </c>
      <c r="AW38" s="840">
        <v>14841.6</v>
      </c>
      <c r="AX38" s="840">
        <v>15957.949999999999</v>
      </c>
      <c r="AY38" s="840">
        <v>17829.25</v>
      </c>
      <c r="AZ38" s="840">
        <v>16995.400000000001</v>
      </c>
      <c r="BA38" s="840">
        <v>14398.6</v>
      </c>
      <c r="BB38" s="840">
        <v>14627.6</v>
      </c>
      <c r="BC38" s="840">
        <v>12804.699999999999</v>
      </c>
      <c r="BD38" s="840">
        <v>12547.1</v>
      </c>
      <c r="BE38" s="840">
        <v>5916.0499999999993</v>
      </c>
      <c r="BF38" s="840">
        <v>16533.600000000002</v>
      </c>
      <c r="BG38" s="840">
        <v>14521.449999999999</v>
      </c>
      <c r="BH38" s="840">
        <v>10021</v>
      </c>
      <c r="BI38" s="840">
        <v>9247.0500000000011</v>
      </c>
      <c r="BJ38" s="840">
        <v>11196.7</v>
      </c>
    </row>
    <row r="39" spans="1:62" ht="12.25" customHeight="1" x14ac:dyDescent="0.3">
      <c r="A39" s="856" t="s">
        <v>716</v>
      </c>
      <c r="B39" s="838">
        <v>250</v>
      </c>
      <c r="C39" s="838">
        <v>312.60000000000002</v>
      </c>
      <c r="D39" s="838">
        <v>2.6</v>
      </c>
      <c r="E39" s="838">
        <v>157.6</v>
      </c>
      <c r="F39" s="838">
        <v>2.6</v>
      </c>
      <c r="G39" s="838">
        <v>831.1</v>
      </c>
      <c r="H39" s="838">
        <v>374</v>
      </c>
      <c r="I39" s="838">
        <v>222.6</v>
      </c>
      <c r="J39" s="838">
        <v>1122.5999999999999</v>
      </c>
      <c r="K39" s="838">
        <v>372.6</v>
      </c>
      <c r="L39" s="838">
        <v>2.6</v>
      </c>
      <c r="M39" s="838">
        <v>2.6</v>
      </c>
      <c r="N39" s="838">
        <v>2.6</v>
      </c>
      <c r="O39" s="838">
        <v>2.6</v>
      </c>
      <c r="P39" s="838">
        <v>2.6</v>
      </c>
      <c r="Q39" s="838">
        <v>2.6</v>
      </c>
      <c r="R39" s="838">
        <v>2.6</v>
      </c>
      <c r="S39" s="838">
        <v>2.6</v>
      </c>
      <c r="T39" s="838">
        <v>424.7</v>
      </c>
      <c r="U39" s="838">
        <v>774.7</v>
      </c>
      <c r="V39" s="838">
        <v>846.09999999999991</v>
      </c>
      <c r="W39" s="838">
        <v>978.7</v>
      </c>
      <c r="X39" s="838">
        <v>937.9</v>
      </c>
      <c r="Y39" s="838">
        <v>892.9</v>
      </c>
      <c r="Z39" s="838">
        <v>642.29999999999995</v>
      </c>
      <c r="AA39" s="838">
        <v>1586.45</v>
      </c>
      <c r="AB39" s="838">
        <v>1331.2</v>
      </c>
      <c r="AC39" s="838">
        <v>1065.5999999999999</v>
      </c>
      <c r="AD39" s="838">
        <v>1207.95</v>
      </c>
      <c r="AE39" s="838">
        <v>1560.45</v>
      </c>
      <c r="AF39" s="838">
        <v>1744.3</v>
      </c>
      <c r="AG39" s="838">
        <v>2196.1000000000004</v>
      </c>
      <c r="AH39" s="838">
        <v>3612</v>
      </c>
      <c r="AI39" s="832">
        <v>4261.3500000000004</v>
      </c>
      <c r="AJ39" s="832">
        <v>6122</v>
      </c>
      <c r="AK39" s="837">
        <v>5198.6000000000004</v>
      </c>
      <c r="AL39" s="837">
        <v>4892.3999999999996</v>
      </c>
      <c r="AM39" s="837">
        <v>5234.3999999999996</v>
      </c>
      <c r="AN39" s="837">
        <v>6594.4500000000007</v>
      </c>
      <c r="AO39" s="837">
        <v>6830.1500000000005</v>
      </c>
      <c r="AP39" s="837">
        <v>7812.85</v>
      </c>
      <c r="AQ39" s="837">
        <v>12670.25</v>
      </c>
      <c r="AR39" s="837">
        <v>13905.6</v>
      </c>
      <c r="AS39" s="837">
        <v>10996.45</v>
      </c>
      <c r="AT39" s="837">
        <v>9394.5499999999993</v>
      </c>
      <c r="AU39" s="837">
        <v>14687.5</v>
      </c>
      <c r="AV39" s="837">
        <v>14406.55</v>
      </c>
      <c r="AW39" s="837">
        <v>14738</v>
      </c>
      <c r="AX39" s="837">
        <v>15854.349999999999</v>
      </c>
      <c r="AY39" s="837">
        <v>17770.849999999999</v>
      </c>
      <c r="AZ39" s="837">
        <v>16937</v>
      </c>
      <c r="BA39" s="837">
        <v>14240.2</v>
      </c>
      <c r="BB39" s="837">
        <v>14579.2</v>
      </c>
      <c r="BC39" s="837">
        <v>12756.3</v>
      </c>
      <c r="BD39" s="837">
        <v>12498.7</v>
      </c>
      <c r="BE39" s="837">
        <v>5867.65</v>
      </c>
      <c r="BF39" s="837">
        <v>16485.2</v>
      </c>
      <c r="BG39" s="837">
        <v>14473.05</v>
      </c>
      <c r="BH39" s="837">
        <v>9972.6</v>
      </c>
      <c r="BI39" s="837">
        <v>9198.6500000000015</v>
      </c>
      <c r="BJ39" s="837">
        <v>11145.85</v>
      </c>
    </row>
    <row r="40" spans="1:62" ht="12.25" customHeight="1" x14ac:dyDescent="0.3">
      <c r="A40" s="856" t="s">
        <v>715</v>
      </c>
      <c r="B40" s="838">
        <v>0</v>
      </c>
      <c r="C40" s="838">
        <v>0</v>
      </c>
      <c r="D40" s="838">
        <v>0</v>
      </c>
      <c r="E40" s="838">
        <v>0</v>
      </c>
      <c r="F40" s="838">
        <v>0</v>
      </c>
      <c r="G40" s="838">
        <v>0</v>
      </c>
      <c r="H40" s="838">
        <v>0</v>
      </c>
      <c r="I40" s="838">
        <v>310</v>
      </c>
      <c r="J40" s="838">
        <v>310</v>
      </c>
      <c r="K40" s="838">
        <v>310</v>
      </c>
      <c r="L40" s="838">
        <v>310</v>
      </c>
      <c r="M40" s="838">
        <v>310</v>
      </c>
      <c r="N40" s="838">
        <v>310</v>
      </c>
      <c r="O40" s="838">
        <v>310</v>
      </c>
      <c r="P40" s="838">
        <v>310</v>
      </c>
      <c r="Q40" s="838">
        <v>310</v>
      </c>
      <c r="R40" s="838">
        <v>310</v>
      </c>
      <c r="S40" s="838">
        <v>310</v>
      </c>
      <c r="T40" s="838">
        <v>410</v>
      </c>
      <c r="U40" s="838">
        <v>150</v>
      </c>
      <c r="V40" s="838">
        <v>100</v>
      </c>
      <c r="W40" s="838">
        <v>0</v>
      </c>
      <c r="X40" s="838">
        <v>141.5</v>
      </c>
      <c r="Y40" s="838">
        <v>189.9</v>
      </c>
      <c r="Z40" s="838">
        <v>386.4</v>
      </c>
      <c r="AA40" s="838">
        <v>486.4</v>
      </c>
      <c r="AB40" s="838">
        <v>243.4</v>
      </c>
      <c r="AC40" s="838">
        <v>243.4</v>
      </c>
      <c r="AD40" s="838">
        <v>503.4</v>
      </c>
      <c r="AE40" s="838">
        <v>503.4</v>
      </c>
      <c r="AF40" s="838">
        <v>488.29999999999995</v>
      </c>
      <c r="AG40" s="838">
        <v>708.3</v>
      </c>
      <c r="AH40" s="838">
        <v>928</v>
      </c>
      <c r="AI40" s="832">
        <v>283.39999999999998</v>
      </c>
      <c r="AJ40" s="832">
        <v>283.39999999999998</v>
      </c>
      <c r="AK40" s="837">
        <v>183.4</v>
      </c>
      <c r="AL40" s="837">
        <v>102.4</v>
      </c>
      <c r="AM40" s="837">
        <v>147.6</v>
      </c>
      <c r="AN40" s="837">
        <v>147.6</v>
      </c>
      <c r="AO40" s="837">
        <v>147.6</v>
      </c>
      <c r="AP40" s="837">
        <v>147.6</v>
      </c>
      <c r="AQ40" s="837">
        <v>147.6</v>
      </c>
      <c r="AR40" s="837">
        <v>247.6</v>
      </c>
      <c r="AS40" s="837">
        <v>247.6</v>
      </c>
      <c r="AT40" s="837">
        <v>247.6</v>
      </c>
      <c r="AU40" s="837">
        <v>467.45</v>
      </c>
      <c r="AV40" s="837">
        <v>153.6</v>
      </c>
      <c r="AW40" s="837">
        <v>103.6</v>
      </c>
      <c r="AX40" s="837">
        <v>103.6</v>
      </c>
      <c r="AY40" s="837">
        <v>58.4</v>
      </c>
      <c r="AZ40" s="837">
        <v>58.4</v>
      </c>
      <c r="BA40" s="837">
        <v>158.4</v>
      </c>
      <c r="BB40" s="837">
        <v>48.4</v>
      </c>
      <c r="BC40" s="837">
        <v>48.4</v>
      </c>
      <c r="BD40" s="837">
        <v>48.4</v>
      </c>
      <c r="BE40" s="837">
        <v>48.4</v>
      </c>
      <c r="BF40" s="837">
        <v>48.4</v>
      </c>
      <c r="BG40" s="837">
        <v>48.4</v>
      </c>
      <c r="BH40" s="837">
        <v>48.4</v>
      </c>
      <c r="BI40" s="837">
        <v>48.4</v>
      </c>
      <c r="BJ40" s="837">
        <v>50.85</v>
      </c>
    </row>
    <row r="41" spans="1:62" ht="12.25" customHeight="1" x14ac:dyDescent="0.3">
      <c r="A41" s="834"/>
      <c r="B41" s="855"/>
      <c r="C41" s="855"/>
      <c r="D41" s="855"/>
      <c r="E41" s="855"/>
      <c r="F41" s="855"/>
      <c r="G41" s="855"/>
      <c r="H41" s="855"/>
      <c r="I41" s="855"/>
      <c r="J41" s="855"/>
      <c r="K41" s="855"/>
      <c r="L41" s="855"/>
      <c r="M41" s="855"/>
      <c r="N41" s="855"/>
      <c r="O41" s="855"/>
      <c r="P41" s="855"/>
      <c r="Q41" s="855"/>
      <c r="R41" s="855"/>
      <c r="S41" s="855"/>
      <c r="T41" s="855"/>
      <c r="U41" s="855"/>
      <c r="V41" s="855"/>
      <c r="W41" s="855"/>
      <c r="X41" s="855"/>
      <c r="Y41" s="855"/>
      <c r="Z41" s="855"/>
      <c r="AA41" s="855"/>
      <c r="AB41" s="855"/>
      <c r="AC41" s="855"/>
      <c r="AD41" s="855"/>
      <c r="AE41" s="855"/>
      <c r="AF41" s="855"/>
      <c r="AG41" s="855"/>
      <c r="AH41" s="838"/>
      <c r="AI41" s="832"/>
      <c r="AJ41" s="832"/>
      <c r="AK41" s="837"/>
      <c r="AL41" s="848"/>
      <c r="AM41" s="848"/>
      <c r="AN41" s="848"/>
      <c r="AO41" s="848"/>
      <c r="AP41" s="848"/>
      <c r="AQ41" s="848"/>
      <c r="AR41" s="848"/>
      <c r="AS41" s="848"/>
      <c r="AT41" s="848"/>
      <c r="AU41" s="848"/>
      <c r="AV41" s="848"/>
      <c r="AW41" s="848"/>
      <c r="AX41" s="848"/>
      <c r="AY41" s="848"/>
      <c r="AZ41" s="848"/>
      <c r="BA41" s="848"/>
      <c r="BB41" s="848"/>
      <c r="BC41" s="848"/>
      <c r="BD41" s="848"/>
      <c r="BE41" s="848"/>
      <c r="BF41" s="848"/>
      <c r="BG41" s="848"/>
      <c r="BH41" s="848"/>
      <c r="BI41" s="848"/>
      <c r="BJ41" s="848"/>
    </row>
    <row r="42" spans="1:62" ht="12.25" customHeight="1" x14ac:dyDescent="0.3">
      <c r="A42" s="854" t="s">
        <v>723</v>
      </c>
      <c r="B42" s="853">
        <v>7539.1</v>
      </c>
      <c r="C42" s="853">
        <v>7972.8299999999972</v>
      </c>
      <c r="D42" s="853">
        <v>8624.7299999999905</v>
      </c>
      <c r="E42" s="853">
        <v>8329.8300000000163</v>
      </c>
      <c r="F42" s="853">
        <v>8604.5000000000127</v>
      </c>
      <c r="G42" s="853">
        <v>9021.6999999999935</v>
      </c>
      <c r="H42" s="853">
        <v>17891.47</v>
      </c>
      <c r="I42" s="853">
        <v>10442.1</v>
      </c>
      <c r="J42" s="853">
        <v>10312.300000000017</v>
      </c>
      <c r="K42" s="853">
        <v>10708.799999999994</v>
      </c>
      <c r="L42" s="853">
        <v>10995.799999999994</v>
      </c>
      <c r="M42" s="853">
        <v>11547.900000000009</v>
      </c>
      <c r="N42" s="853">
        <v>12606.300000000003</v>
      </c>
      <c r="O42" s="853">
        <v>12060.600000000017</v>
      </c>
      <c r="P42" s="853">
        <v>12287.300000000021</v>
      </c>
      <c r="Q42" s="853">
        <v>12114.500000000016</v>
      </c>
      <c r="R42" s="853">
        <v>14189.000000000018</v>
      </c>
      <c r="S42" s="853">
        <v>13499.099999999977</v>
      </c>
      <c r="T42" s="853">
        <v>14216.899999999992</v>
      </c>
      <c r="U42" s="853">
        <v>15171.300000000008</v>
      </c>
      <c r="V42" s="853">
        <v>15599.799999999983</v>
      </c>
      <c r="W42" s="853">
        <v>16152.899999999998</v>
      </c>
      <c r="X42" s="853">
        <v>16370.199999999995</v>
      </c>
      <c r="Y42" s="853">
        <v>16493.599999999991</v>
      </c>
      <c r="Z42" s="853">
        <v>16786.499999999993</v>
      </c>
      <c r="AA42" s="853">
        <v>18692.550000000014</v>
      </c>
      <c r="AB42" s="853">
        <v>18842.899999999998</v>
      </c>
      <c r="AC42" s="853">
        <v>19860.2</v>
      </c>
      <c r="AD42" s="853">
        <v>23545.449999999993</v>
      </c>
      <c r="AE42" s="853">
        <v>26858.699999999997</v>
      </c>
      <c r="AF42" s="853">
        <v>28452.599999999984</v>
      </c>
      <c r="AG42" s="853">
        <v>31044.500000000007</v>
      </c>
      <c r="AH42" s="853">
        <v>32390</v>
      </c>
      <c r="AI42" s="853">
        <v>33965.350000000013</v>
      </c>
      <c r="AJ42" s="853">
        <v>35517.15</v>
      </c>
      <c r="AK42" s="852">
        <v>34761.22</v>
      </c>
      <c r="AL42" s="852">
        <v>35036.899999999987</v>
      </c>
      <c r="AM42" s="852">
        <v>34233.869999999988</v>
      </c>
      <c r="AN42" s="852">
        <v>33783.249999999993</v>
      </c>
      <c r="AO42" s="852">
        <v>33795.399999999958</v>
      </c>
      <c r="AP42" s="852">
        <v>33217.720000000008</v>
      </c>
      <c r="AQ42" s="852">
        <v>34251.550000000003</v>
      </c>
      <c r="AR42" s="852">
        <v>34927.294999999998</v>
      </c>
      <c r="AS42" s="852">
        <v>36410.145000000004</v>
      </c>
      <c r="AT42" s="852">
        <v>37823.500000000007</v>
      </c>
      <c r="AU42" s="852">
        <v>39919.9</v>
      </c>
      <c r="AV42" s="852">
        <v>39051.895000000004</v>
      </c>
      <c r="AW42" s="852">
        <v>40759.39999999998</v>
      </c>
      <c r="AX42" s="852">
        <v>43392.000000000015</v>
      </c>
      <c r="AY42" s="852">
        <v>46324.749999999964</v>
      </c>
      <c r="AZ42" s="852">
        <v>47776.794999999976</v>
      </c>
      <c r="BA42" s="852">
        <v>48083.899999999994</v>
      </c>
      <c r="BB42" s="852">
        <v>50004.85</v>
      </c>
      <c r="BC42" s="852">
        <v>52187.444999999992</v>
      </c>
      <c r="BD42" s="852">
        <v>55489.594999999972</v>
      </c>
      <c r="BE42" s="852">
        <v>56740.874999999985</v>
      </c>
      <c r="BF42" s="852">
        <v>59370.750000000022</v>
      </c>
      <c r="BG42" s="852">
        <v>62244.226000000017</v>
      </c>
      <c r="BH42" s="852">
        <v>66191.599999999977</v>
      </c>
      <c r="BI42" s="852">
        <v>72693.000000000015</v>
      </c>
      <c r="BJ42" s="852">
        <v>79993.895000000004</v>
      </c>
    </row>
    <row r="43" spans="1:62" s="835" customFormat="1" ht="12.25" customHeight="1" x14ac:dyDescent="0.3">
      <c r="A43" s="851" t="s">
        <v>716</v>
      </c>
      <c r="B43" s="837">
        <v>561.97</v>
      </c>
      <c r="C43" s="837">
        <v>986.19999999999993</v>
      </c>
      <c r="D43" s="837">
        <v>1042.5999999999999</v>
      </c>
      <c r="E43" s="837">
        <v>782.59999999999968</v>
      </c>
      <c r="F43" s="837">
        <v>607.39999999999986</v>
      </c>
      <c r="G43" s="837">
        <v>538.50000000000034</v>
      </c>
      <c r="H43" s="837">
        <v>449.19999999999953</v>
      </c>
      <c r="I43" s="837">
        <v>241.89999999999975</v>
      </c>
      <c r="J43" s="837">
        <v>260.4999999999992</v>
      </c>
      <c r="K43" s="837">
        <v>207.10000000000045</v>
      </c>
      <c r="L43" s="837">
        <v>127.59999999999985</v>
      </c>
      <c r="M43" s="837">
        <v>143.79999999999987</v>
      </c>
      <c r="N43" s="837">
        <v>257</v>
      </c>
      <c r="O43" s="837">
        <v>122.50000000000011</v>
      </c>
      <c r="P43" s="837">
        <v>124.10000000000007</v>
      </c>
      <c r="Q43" s="837">
        <v>70.300000000000011</v>
      </c>
      <c r="R43" s="837">
        <v>111.19999999999985</v>
      </c>
      <c r="S43" s="837">
        <v>275.29999999999995</v>
      </c>
      <c r="T43" s="837">
        <v>631.79999999999995</v>
      </c>
      <c r="U43" s="837">
        <v>594.99999999999977</v>
      </c>
      <c r="V43" s="837">
        <v>941.75</v>
      </c>
      <c r="W43" s="837">
        <v>769.29999999999984</v>
      </c>
      <c r="X43" s="837">
        <v>622</v>
      </c>
      <c r="Y43" s="837">
        <v>524.20000000000005</v>
      </c>
      <c r="Z43" s="837">
        <v>530.80000000000018</v>
      </c>
      <c r="AA43" s="837">
        <v>1023.6999999999996</v>
      </c>
      <c r="AB43" s="837">
        <v>555.19999999999982</v>
      </c>
      <c r="AC43" s="837">
        <v>571.05000000000018</v>
      </c>
      <c r="AD43" s="837">
        <v>674.49999999999989</v>
      </c>
      <c r="AE43" s="837">
        <v>1493.65</v>
      </c>
      <c r="AF43" s="837">
        <v>1831.3500000000001</v>
      </c>
      <c r="AG43" s="837">
        <v>2517.6999999999989</v>
      </c>
      <c r="AH43" s="837">
        <v>2844.3500000000004</v>
      </c>
      <c r="AI43" s="837">
        <v>3480.0500000000006</v>
      </c>
      <c r="AJ43" s="837">
        <v>3559.8</v>
      </c>
      <c r="AK43" s="837">
        <v>1348.25</v>
      </c>
      <c r="AL43" s="837">
        <v>2113.4500000000012</v>
      </c>
      <c r="AM43" s="837">
        <v>1517.9500000000012</v>
      </c>
      <c r="AN43" s="837">
        <v>1920.9999999999968</v>
      </c>
      <c r="AO43" s="837">
        <v>1311.049999999999</v>
      </c>
      <c r="AP43" s="837">
        <v>1774.3499999999995</v>
      </c>
      <c r="AQ43" s="837">
        <v>2160.8500000000008</v>
      </c>
      <c r="AR43" s="837">
        <v>2365.75</v>
      </c>
      <c r="AS43" s="837">
        <v>2136.3499999999995</v>
      </c>
      <c r="AT43" s="837">
        <v>2362.5000000000045</v>
      </c>
      <c r="AU43" s="837">
        <v>3213.85</v>
      </c>
      <c r="AV43" s="837">
        <v>2595.0499999999997</v>
      </c>
      <c r="AW43" s="837">
        <v>2598</v>
      </c>
      <c r="AX43" s="837">
        <v>2705.6500000000005</v>
      </c>
      <c r="AY43" s="837">
        <v>3713.6500000000015</v>
      </c>
      <c r="AZ43" s="837">
        <v>4113.4499999999971</v>
      </c>
      <c r="BA43" s="837">
        <v>4384.1999999999989</v>
      </c>
      <c r="BB43" s="837">
        <v>4649.9999999999973</v>
      </c>
      <c r="BC43" s="837">
        <v>5277.2499999999991</v>
      </c>
      <c r="BD43" s="837">
        <v>6559.4499999999989</v>
      </c>
      <c r="BE43" s="837">
        <v>6284.4000000000005</v>
      </c>
      <c r="BF43" s="837">
        <v>6833.300000000002</v>
      </c>
      <c r="BG43" s="837">
        <v>7781.9999999999982</v>
      </c>
      <c r="BH43" s="837">
        <v>9328.4499999999989</v>
      </c>
      <c r="BI43" s="837">
        <v>13302.5</v>
      </c>
      <c r="BJ43" s="837">
        <v>14740.850000000006</v>
      </c>
    </row>
    <row r="44" spans="1:62" s="835" customFormat="1" ht="12.25" customHeight="1" x14ac:dyDescent="0.3">
      <c r="A44" s="851" t="s">
        <v>715</v>
      </c>
      <c r="B44" s="837">
        <v>6977.13</v>
      </c>
      <c r="C44" s="837">
        <v>6986.6299999999974</v>
      </c>
      <c r="D44" s="837">
        <v>7582.129999999991</v>
      </c>
      <c r="E44" s="837">
        <v>7547.2300000000168</v>
      </c>
      <c r="F44" s="837">
        <v>7997.1000000000131</v>
      </c>
      <c r="G44" s="837">
        <v>8483.1999999999935</v>
      </c>
      <c r="H44" s="837">
        <v>17442.27</v>
      </c>
      <c r="I44" s="837">
        <v>10200.200000000001</v>
      </c>
      <c r="J44" s="837">
        <v>10051.800000000017</v>
      </c>
      <c r="K44" s="837">
        <v>10501.699999999993</v>
      </c>
      <c r="L44" s="837">
        <v>10868.199999999993</v>
      </c>
      <c r="M44" s="837">
        <v>11404.100000000009</v>
      </c>
      <c r="N44" s="837">
        <v>12349.300000000003</v>
      </c>
      <c r="O44" s="837">
        <v>11938.100000000017</v>
      </c>
      <c r="P44" s="837">
        <v>12163.200000000021</v>
      </c>
      <c r="Q44" s="837">
        <v>12044.200000000017</v>
      </c>
      <c r="R44" s="837">
        <v>14077.800000000017</v>
      </c>
      <c r="S44" s="837">
        <v>13223.799999999977</v>
      </c>
      <c r="T44" s="837">
        <v>13585.099999999993</v>
      </c>
      <c r="U44" s="837">
        <v>14576.300000000008</v>
      </c>
      <c r="V44" s="837">
        <v>14658.049999999983</v>
      </c>
      <c r="W44" s="837">
        <v>15383.599999999999</v>
      </c>
      <c r="X44" s="837">
        <v>15748.199999999995</v>
      </c>
      <c r="Y44" s="837">
        <v>15969.399999999992</v>
      </c>
      <c r="Z44" s="837">
        <v>16255.699999999993</v>
      </c>
      <c r="AA44" s="837">
        <v>17668.850000000013</v>
      </c>
      <c r="AB44" s="837">
        <v>18287.699999999997</v>
      </c>
      <c r="AC44" s="837">
        <v>19289.150000000001</v>
      </c>
      <c r="AD44" s="837">
        <v>22870.949999999993</v>
      </c>
      <c r="AE44" s="837">
        <v>25365.049999999996</v>
      </c>
      <c r="AF44" s="837">
        <v>26621.249999999985</v>
      </c>
      <c r="AG44" s="837">
        <v>28526.80000000001</v>
      </c>
      <c r="AH44" s="837">
        <v>29545.65</v>
      </c>
      <c r="AI44" s="837">
        <v>30485.300000000014</v>
      </c>
      <c r="AJ44" s="837">
        <v>31957.35</v>
      </c>
      <c r="AK44" s="837">
        <v>33412.97</v>
      </c>
      <c r="AL44" s="837">
        <v>32923.449999999983</v>
      </c>
      <c r="AM44" s="837">
        <v>32715.919999999984</v>
      </c>
      <c r="AN44" s="837">
        <v>31862.249999999993</v>
      </c>
      <c r="AO44" s="837">
        <v>32484.349999999962</v>
      </c>
      <c r="AP44" s="837">
        <v>31443.370000000006</v>
      </c>
      <c r="AQ44" s="837">
        <v>32090.7</v>
      </c>
      <c r="AR44" s="837">
        <v>32561.544999999995</v>
      </c>
      <c r="AS44" s="837">
        <v>34273.795000000006</v>
      </c>
      <c r="AT44" s="837">
        <v>35461</v>
      </c>
      <c r="AU44" s="837">
        <v>36706.050000000003</v>
      </c>
      <c r="AV44" s="837">
        <v>36456.845000000001</v>
      </c>
      <c r="AW44" s="837">
        <v>38161.39999999998</v>
      </c>
      <c r="AX44" s="837">
        <v>40686.350000000013</v>
      </c>
      <c r="AY44" s="837">
        <v>42611.099999999962</v>
      </c>
      <c r="AZ44" s="837">
        <v>43663.344999999979</v>
      </c>
      <c r="BA44" s="837">
        <v>43699.7</v>
      </c>
      <c r="BB44" s="837">
        <v>45354.85</v>
      </c>
      <c r="BC44" s="837">
        <v>46910.194999999992</v>
      </c>
      <c r="BD44" s="837">
        <v>48930.144999999975</v>
      </c>
      <c r="BE44" s="837">
        <v>50456.474999999984</v>
      </c>
      <c r="BF44" s="837">
        <v>52537.450000000019</v>
      </c>
      <c r="BG44" s="837">
        <v>54462.226000000017</v>
      </c>
      <c r="BH44" s="837">
        <v>56863.14999999998</v>
      </c>
      <c r="BI44" s="837">
        <v>59390.500000000015</v>
      </c>
      <c r="BJ44" s="837">
        <v>65253.044999999998</v>
      </c>
    </row>
    <row r="45" spans="1:62" ht="12.25" customHeight="1" x14ac:dyDescent="0.3">
      <c r="A45" s="850"/>
      <c r="B45" s="833"/>
      <c r="C45" s="833"/>
      <c r="D45" s="833"/>
      <c r="E45" s="833"/>
      <c r="F45" s="833"/>
      <c r="G45" s="833"/>
      <c r="H45" s="833"/>
      <c r="I45" s="833"/>
      <c r="J45" s="833"/>
      <c r="K45" s="833"/>
      <c r="L45" s="833"/>
      <c r="M45" s="833"/>
      <c r="N45" s="833"/>
      <c r="O45" s="833"/>
      <c r="P45" s="833"/>
      <c r="Q45" s="833"/>
      <c r="R45" s="833"/>
      <c r="S45" s="833"/>
      <c r="T45" s="833"/>
      <c r="U45" s="833"/>
      <c r="V45" s="833"/>
      <c r="W45" s="833"/>
      <c r="X45" s="833"/>
      <c r="Y45" s="833"/>
      <c r="Z45" s="833"/>
      <c r="AA45" s="833"/>
      <c r="AB45" s="833"/>
      <c r="AC45" s="833"/>
      <c r="AD45" s="833"/>
      <c r="AE45" s="833"/>
      <c r="AF45" s="833"/>
      <c r="AG45" s="833"/>
      <c r="AH45" s="833"/>
      <c r="AI45" s="832"/>
      <c r="AJ45" s="832"/>
      <c r="AK45" s="837"/>
      <c r="AL45" s="848"/>
      <c r="AM45" s="848"/>
      <c r="AN45" s="848"/>
      <c r="AO45" s="848"/>
      <c r="AP45" s="848"/>
      <c r="AQ45" s="848"/>
      <c r="AR45" s="848"/>
      <c r="AS45" s="848"/>
      <c r="AT45" s="848"/>
      <c r="AU45" s="848"/>
      <c r="AV45" s="848"/>
      <c r="AW45" s="848"/>
      <c r="AX45" s="848"/>
      <c r="AY45" s="848"/>
      <c r="AZ45" s="848"/>
      <c r="BA45" s="848"/>
      <c r="BB45" s="848"/>
      <c r="BC45" s="848"/>
      <c r="BD45" s="848"/>
      <c r="BE45" s="848"/>
      <c r="BF45" s="848"/>
      <c r="BG45" s="848"/>
      <c r="BH45" s="848"/>
      <c r="BI45" s="848"/>
      <c r="BJ45" s="848"/>
    </row>
    <row r="46" spans="1:62" ht="12.25" customHeight="1" x14ac:dyDescent="0.3">
      <c r="A46" s="842" t="s">
        <v>722</v>
      </c>
      <c r="B46" s="841">
        <v>696.6</v>
      </c>
      <c r="C46" s="841">
        <v>636.90000000000009</v>
      </c>
      <c r="D46" s="841">
        <v>627</v>
      </c>
      <c r="E46" s="841">
        <v>692.4</v>
      </c>
      <c r="F46" s="841">
        <v>671.59999999999991</v>
      </c>
      <c r="G46" s="841">
        <v>670.9</v>
      </c>
      <c r="H46" s="841">
        <v>676.1</v>
      </c>
      <c r="I46" s="841">
        <v>627.6</v>
      </c>
      <c r="J46" s="841">
        <v>645.20000000000005</v>
      </c>
      <c r="K46" s="841">
        <v>688.30000000000007</v>
      </c>
      <c r="L46" s="841">
        <v>686.80000000000007</v>
      </c>
      <c r="M46" s="841">
        <v>690</v>
      </c>
      <c r="N46" s="841">
        <v>675.40000000000009</v>
      </c>
      <c r="O46" s="841">
        <v>614</v>
      </c>
      <c r="P46" s="841">
        <v>611.30000000000007</v>
      </c>
      <c r="Q46" s="841">
        <v>608.30000000000007</v>
      </c>
      <c r="R46" s="841">
        <v>788.7</v>
      </c>
      <c r="S46" s="841">
        <v>805.4</v>
      </c>
      <c r="T46" s="841">
        <v>868.7</v>
      </c>
      <c r="U46" s="841">
        <v>943.6</v>
      </c>
      <c r="V46" s="841">
        <v>979.90000000000009</v>
      </c>
      <c r="W46" s="841">
        <v>1155.6000000000001</v>
      </c>
      <c r="X46" s="841">
        <v>1246.8</v>
      </c>
      <c r="Y46" s="841">
        <v>1199.1000000000001</v>
      </c>
      <c r="Z46" s="841">
        <v>1425.8000000000002</v>
      </c>
      <c r="AA46" s="841">
        <v>1548.7</v>
      </c>
      <c r="AB46" s="841">
        <v>1684.9</v>
      </c>
      <c r="AC46" s="841">
        <v>1743.7</v>
      </c>
      <c r="AD46" s="841">
        <v>2856.7</v>
      </c>
      <c r="AE46" s="841">
        <v>2959.6499999999996</v>
      </c>
      <c r="AF46" s="841">
        <v>3035.5999999999995</v>
      </c>
      <c r="AG46" s="841">
        <v>3954.8</v>
      </c>
      <c r="AH46" s="841">
        <v>3907.2</v>
      </c>
      <c r="AI46" s="841">
        <v>4082.05</v>
      </c>
      <c r="AJ46" s="841">
        <v>4235.8499999999995</v>
      </c>
      <c r="AK46" s="840">
        <v>3616.0499999999997</v>
      </c>
      <c r="AL46" s="840">
        <v>3220.0499999999997</v>
      </c>
      <c r="AM46" s="840">
        <v>3281.6</v>
      </c>
      <c r="AN46" s="840">
        <v>3007.6</v>
      </c>
      <c r="AO46" s="840">
        <v>3034.8500000000004</v>
      </c>
      <c r="AP46" s="840">
        <v>2575.75</v>
      </c>
      <c r="AQ46" s="840">
        <v>2342.85</v>
      </c>
      <c r="AR46" s="840">
        <v>2620.8999999999996</v>
      </c>
      <c r="AS46" s="840">
        <v>2743.7499999999995</v>
      </c>
      <c r="AT46" s="840">
        <v>3174.3</v>
      </c>
      <c r="AU46" s="840">
        <v>3875.5</v>
      </c>
      <c r="AV46" s="840">
        <v>3575.2</v>
      </c>
      <c r="AW46" s="840">
        <v>3758</v>
      </c>
      <c r="AX46" s="840">
        <v>4209.95</v>
      </c>
      <c r="AY46" s="840">
        <v>4263.25</v>
      </c>
      <c r="AZ46" s="840">
        <v>4821.7</v>
      </c>
      <c r="BA46" s="840">
        <v>4860.5499999999993</v>
      </c>
      <c r="BB46" s="840">
        <v>5532.6</v>
      </c>
      <c r="BC46" s="840">
        <v>7708.1</v>
      </c>
      <c r="BD46" s="840">
        <v>8360.5</v>
      </c>
      <c r="BE46" s="840">
        <v>8721.7000000000007</v>
      </c>
      <c r="BF46" s="840">
        <v>9574.2000000000007</v>
      </c>
      <c r="BG46" s="840">
        <v>10737.5</v>
      </c>
      <c r="BH46" s="840">
        <v>11331.25</v>
      </c>
      <c r="BI46" s="840">
        <v>11980.15</v>
      </c>
      <c r="BJ46" s="840">
        <v>13053.599999999999</v>
      </c>
    </row>
    <row r="47" spans="1:62" s="835" customFormat="1" ht="12.25" customHeight="1" x14ac:dyDescent="0.3">
      <c r="A47" s="839" t="s">
        <v>716</v>
      </c>
      <c r="B47" s="838">
        <v>0</v>
      </c>
      <c r="C47" s="838">
        <v>0</v>
      </c>
      <c r="D47" s="838">
        <v>0</v>
      </c>
      <c r="E47" s="838">
        <v>0</v>
      </c>
      <c r="F47" s="838">
        <v>0</v>
      </c>
      <c r="G47" s="838">
        <v>0</v>
      </c>
      <c r="H47" s="838">
        <v>0</v>
      </c>
      <c r="I47" s="838">
        <v>0</v>
      </c>
      <c r="J47" s="838">
        <v>0</v>
      </c>
      <c r="K47" s="838">
        <v>0</v>
      </c>
      <c r="L47" s="838">
        <v>0</v>
      </c>
      <c r="M47" s="838">
        <v>0</v>
      </c>
      <c r="N47" s="838">
        <v>0</v>
      </c>
      <c r="O47" s="838">
        <v>0</v>
      </c>
      <c r="P47" s="838">
        <v>0</v>
      </c>
      <c r="Q47" s="838">
        <v>0</v>
      </c>
      <c r="R47" s="838">
        <v>0</v>
      </c>
      <c r="S47" s="838">
        <v>0</v>
      </c>
      <c r="T47" s="838">
        <v>0</v>
      </c>
      <c r="U47" s="838">
        <v>50</v>
      </c>
      <c r="V47" s="838">
        <v>25</v>
      </c>
      <c r="W47" s="838">
        <v>70</v>
      </c>
      <c r="X47" s="838">
        <v>65.2</v>
      </c>
      <c r="Y47" s="838">
        <v>55.2</v>
      </c>
      <c r="Z47" s="838">
        <v>158.4</v>
      </c>
      <c r="AA47" s="838">
        <v>0</v>
      </c>
      <c r="AB47" s="838">
        <v>0</v>
      </c>
      <c r="AC47" s="838">
        <v>0</v>
      </c>
      <c r="AD47" s="838">
        <v>40</v>
      </c>
      <c r="AE47" s="838">
        <v>205</v>
      </c>
      <c r="AF47" s="838">
        <v>127.2</v>
      </c>
      <c r="AG47" s="838">
        <v>879.3</v>
      </c>
      <c r="AH47" s="838">
        <v>703.55</v>
      </c>
      <c r="AI47" s="832">
        <v>771.65</v>
      </c>
      <c r="AJ47" s="832">
        <v>757.95</v>
      </c>
      <c r="AK47" s="837">
        <v>316.5</v>
      </c>
      <c r="AL47" s="836">
        <v>207</v>
      </c>
      <c r="AM47" s="836">
        <v>273.8</v>
      </c>
      <c r="AN47" s="836">
        <v>118.3</v>
      </c>
      <c r="AO47" s="836">
        <v>88.8</v>
      </c>
      <c r="AP47" s="836">
        <v>20.5</v>
      </c>
      <c r="AQ47" s="836">
        <v>36.5</v>
      </c>
      <c r="AR47" s="836">
        <v>186.15</v>
      </c>
      <c r="AS47" s="836">
        <v>298</v>
      </c>
      <c r="AT47" s="836">
        <v>455</v>
      </c>
      <c r="AU47" s="836">
        <v>480.55</v>
      </c>
      <c r="AV47" s="836">
        <v>68.7</v>
      </c>
      <c r="AW47" s="836">
        <v>66</v>
      </c>
      <c r="AX47" s="836">
        <v>123.5</v>
      </c>
      <c r="AY47" s="836">
        <v>89.85</v>
      </c>
      <c r="AZ47" s="836">
        <v>153.5</v>
      </c>
      <c r="BA47" s="836">
        <v>94.4</v>
      </c>
      <c r="BB47" s="836">
        <v>243.05</v>
      </c>
      <c r="BC47" s="836">
        <v>1887.8</v>
      </c>
      <c r="BD47" s="836">
        <v>673.25</v>
      </c>
      <c r="BE47" s="836">
        <v>697.75</v>
      </c>
      <c r="BF47" s="836">
        <v>543.20000000000005</v>
      </c>
      <c r="BG47" s="836">
        <v>390.2</v>
      </c>
      <c r="BH47" s="836">
        <v>342</v>
      </c>
      <c r="BI47" s="836">
        <v>931.1</v>
      </c>
      <c r="BJ47" s="836">
        <v>874.05</v>
      </c>
    </row>
    <row r="48" spans="1:62" s="835" customFormat="1" ht="12.25" customHeight="1" x14ac:dyDescent="0.3">
      <c r="A48" s="839" t="s">
        <v>715</v>
      </c>
      <c r="B48" s="838">
        <v>696.6</v>
      </c>
      <c r="C48" s="838">
        <v>636.90000000000009</v>
      </c>
      <c r="D48" s="838">
        <v>627</v>
      </c>
      <c r="E48" s="838">
        <v>692.4</v>
      </c>
      <c r="F48" s="838">
        <v>671.59999999999991</v>
      </c>
      <c r="G48" s="838">
        <v>670.9</v>
      </c>
      <c r="H48" s="838">
        <v>676.1</v>
      </c>
      <c r="I48" s="838">
        <v>627.6</v>
      </c>
      <c r="J48" s="838">
        <v>645.20000000000005</v>
      </c>
      <c r="K48" s="838">
        <v>688.30000000000007</v>
      </c>
      <c r="L48" s="838">
        <v>686.80000000000007</v>
      </c>
      <c r="M48" s="838">
        <v>690</v>
      </c>
      <c r="N48" s="838">
        <v>675.40000000000009</v>
      </c>
      <c r="O48" s="838">
        <v>614</v>
      </c>
      <c r="P48" s="838">
        <v>611.30000000000007</v>
      </c>
      <c r="Q48" s="838">
        <v>608.30000000000007</v>
      </c>
      <c r="R48" s="838">
        <v>788.7</v>
      </c>
      <c r="S48" s="838">
        <v>805.4</v>
      </c>
      <c r="T48" s="838">
        <v>868.7</v>
      </c>
      <c r="U48" s="838">
        <v>893.6</v>
      </c>
      <c r="V48" s="838">
        <v>954.90000000000009</v>
      </c>
      <c r="W48" s="838">
        <v>1085.6000000000001</v>
      </c>
      <c r="X48" s="838">
        <v>1181.5999999999999</v>
      </c>
      <c r="Y48" s="838">
        <v>1143.9000000000001</v>
      </c>
      <c r="Z48" s="838">
        <v>1267.4000000000001</v>
      </c>
      <c r="AA48" s="838">
        <v>1548.7</v>
      </c>
      <c r="AB48" s="838">
        <v>1684.9</v>
      </c>
      <c r="AC48" s="838">
        <v>1743.7</v>
      </c>
      <c r="AD48" s="838">
        <v>2816.7</v>
      </c>
      <c r="AE48" s="838">
        <v>2754.6499999999996</v>
      </c>
      <c r="AF48" s="838">
        <v>2908.3999999999996</v>
      </c>
      <c r="AG48" s="838">
        <v>3075.5</v>
      </c>
      <c r="AH48" s="838">
        <v>3203.65</v>
      </c>
      <c r="AI48" s="832">
        <v>3310.4</v>
      </c>
      <c r="AJ48" s="832">
        <v>3477.8999999999996</v>
      </c>
      <c r="AK48" s="837">
        <v>3299.5499999999997</v>
      </c>
      <c r="AL48" s="837">
        <v>3013.0499999999997</v>
      </c>
      <c r="AM48" s="837">
        <v>3007.7999999999997</v>
      </c>
      <c r="AN48" s="837">
        <v>2889.2999999999997</v>
      </c>
      <c r="AO48" s="837">
        <v>2946.05</v>
      </c>
      <c r="AP48" s="837">
        <v>2555.25</v>
      </c>
      <c r="AQ48" s="837">
        <v>2306.35</v>
      </c>
      <c r="AR48" s="837">
        <v>2434.7499999999995</v>
      </c>
      <c r="AS48" s="837">
        <v>2445.7499999999995</v>
      </c>
      <c r="AT48" s="837">
        <v>2719.3</v>
      </c>
      <c r="AU48" s="837">
        <v>3394.95</v>
      </c>
      <c r="AV48" s="837">
        <v>3506.5</v>
      </c>
      <c r="AW48" s="837">
        <v>3692</v>
      </c>
      <c r="AX48" s="837">
        <v>4086.45</v>
      </c>
      <c r="AY48" s="837">
        <v>4173.3999999999996</v>
      </c>
      <c r="AZ48" s="837">
        <v>4668.2</v>
      </c>
      <c r="BA48" s="837">
        <v>4766.1499999999996</v>
      </c>
      <c r="BB48" s="837">
        <v>5289.55</v>
      </c>
      <c r="BC48" s="837">
        <v>5820.3</v>
      </c>
      <c r="BD48" s="837">
        <v>7687.25</v>
      </c>
      <c r="BE48" s="837">
        <v>8023.9500000000007</v>
      </c>
      <c r="BF48" s="837">
        <v>9031</v>
      </c>
      <c r="BG48" s="837">
        <v>10347.299999999999</v>
      </c>
      <c r="BH48" s="837">
        <v>10989.25</v>
      </c>
      <c r="BI48" s="837">
        <v>11049.05</v>
      </c>
      <c r="BJ48" s="837">
        <v>12179.55</v>
      </c>
    </row>
    <row r="49" spans="1:62" ht="7.5" customHeight="1" x14ac:dyDescent="0.3">
      <c r="A49" s="849"/>
      <c r="B49" s="833"/>
      <c r="C49" s="833"/>
      <c r="D49" s="833"/>
      <c r="E49" s="833"/>
      <c r="F49" s="833"/>
      <c r="G49" s="833"/>
      <c r="H49" s="833"/>
      <c r="I49" s="833"/>
      <c r="J49" s="833"/>
      <c r="K49" s="833"/>
      <c r="L49" s="833"/>
      <c r="M49" s="833"/>
      <c r="N49" s="833"/>
      <c r="O49" s="833"/>
      <c r="P49" s="833"/>
      <c r="Q49" s="833"/>
      <c r="R49" s="833"/>
      <c r="S49" s="833"/>
      <c r="T49" s="833"/>
      <c r="U49" s="833"/>
      <c r="V49" s="833"/>
      <c r="W49" s="833"/>
      <c r="X49" s="833"/>
      <c r="Y49" s="833"/>
      <c r="Z49" s="833"/>
      <c r="AA49" s="833"/>
      <c r="AB49" s="833"/>
      <c r="AC49" s="833"/>
      <c r="AD49" s="833"/>
      <c r="AE49" s="833"/>
      <c r="AF49" s="833"/>
      <c r="AG49" s="833"/>
      <c r="AH49" s="833"/>
      <c r="AI49" s="832"/>
      <c r="AJ49" s="832"/>
      <c r="AK49" s="837"/>
      <c r="AL49" s="848"/>
      <c r="AM49" s="848"/>
      <c r="AN49" s="848"/>
      <c r="AO49" s="848"/>
      <c r="AP49" s="848"/>
      <c r="AQ49" s="848"/>
      <c r="AR49" s="848"/>
      <c r="AS49" s="848"/>
      <c r="AT49" s="848"/>
      <c r="AU49" s="848"/>
      <c r="AV49" s="848"/>
      <c r="AW49" s="848"/>
      <c r="AX49" s="848"/>
      <c r="AY49" s="848"/>
      <c r="AZ49" s="848"/>
      <c r="BA49" s="848"/>
      <c r="BB49" s="848"/>
      <c r="BC49" s="848"/>
      <c r="BD49" s="848"/>
      <c r="BE49" s="848"/>
      <c r="BF49" s="848"/>
      <c r="BG49" s="848"/>
      <c r="BH49" s="848"/>
      <c r="BI49" s="848"/>
      <c r="BJ49" s="848"/>
    </row>
    <row r="50" spans="1:62" ht="12.25" customHeight="1" x14ac:dyDescent="0.3">
      <c r="A50" s="842" t="s">
        <v>721</v>
      </c>
      <c r="B50" s="841">
        <v>5209.63</v>
      </c>
      <c r="C50" s="841">
        <v>5518.63</v>
      </c>
      <c r="D50" s="841">
        <v>6152.83</v>
      </c>
      <c r="E50" s="841">
        <v>6150.53</v>
      </c>
      <c r="F50" s="841">
        <v>6365.9</v>
      </c>
      <c r="G50" s="841">
        <v>6836.1</v>
      </c>
      <c r="H50" s="841">
        <v>8507.2000000000007</v>
      </c>
      <c r="I50" s="841">
        <v>8292.8000000000011</v>
      </c>
      <c r="J50" s="841">
        <v>8084.7</v>
      </c>
      <c r="K50" s="841">
        <v>8463.4</v>
      </c>
      <c r="L50" s="841">
        <v>8785.1999999999989</v>
      </c>
      <c r="M50" s="841">
        <v>9369.2999999999993</v>
      </c>
      <c r="N50" s="841">
        <v>10289.4</v>
      </c>
      <c r="O50" s="841">
        <v>10004.6</v>
      </c>
      <c r="P50" s="841">
        <v>10245.6</v>
      </c>
      <c r="Q50" s="841">
        <v>10162.6</v>
      </c>
      <c r="R50" s="841">
        <v>10872.6</v>
      </c>
      <c r="S50" s="841">
        <v>11208.9</v>
      </c>
      <c r="T50" s="841">
        <v>11615.9</v>
      </c>
      <c r="U50" s="841">
        <v>12347.2</v>
      </c>
      <c r="V50" s="841">
        <v>12400.2</v>
      </c>
      <c r="W50" s="841">
        <v>12733.2</v>
      </c>
      <c r="X50" s="841">
        <v>12462.400000000001</v>
      </c>
      <c r="Y50" s="841">
        <v>12349.300000000001</v>
      </c>
      <c r="Z50" s="841">
        <v>12374.500000000002</v>
      </c>
      <c r="AA50" s="841">
        <v>13274.800000000003</v>
      </c>
      <c r="AB50" s="841">
        <v>13424.500000000002</v>
      </c>
      <c r="AC50" s="841">
        <v>14236.7</v>
      </c>
      <c r="AD50" s="841">
        <v>15756.550000000001</v>
      </c>
      <c r="AE50" s="841">
        <v>17527.599999999999</v>
      </c>
      <c r="AF50" s="841">
        <v>18287.550000000003</v>
      </c>
      <c r="AG50" s="841">
        <v>18462.249999999996</v>
      </c>
      <c r="AH50" s="841">
        <v>18644.3</v>
      </c>
      <c r="AI50" s="841">
        <v>19064.449999999997</v>
      </c>
      <c r="AJ50" s="841">
        <v>19070.449999999997</v>
      </c>
      <c r="AK50" s="840">
        <v>19358.449999999997</v>
      </c>
      <c r="AL50" s="840">
        <v>19464.899999999998</v>
      </c>
      <c r="AM50" s="840">
        <v>19239.8</v>
      </c>
      <c r="AN50" s="840">
        <v>19021.350000000002</v>
      </c>
      <c r="AO50" s="840">
        <v>18846.75</v>
      </c>
      <c r="AP50" s="840">
        <v>18496.849999999999</v>
      </c>
      <c r="AQ50" s="840">
        <v>18425.25</v>
      </c>
      <c r="AR50" s="840">
        <v>18363.399999999998</v>
      </c>
      <c r="AS50" s="840">
        <v>19815.55</v>
      </c>
      <c r="AT50" s="840">
        <v>19867.150000000001</v>
      </c>
      <c r="AU50" s="840">
        <v>20712.55</v>
      </c>
      <c r="AV50" s="840">
        <v>20572.050000000003</v>
      </c>
      <c r="AW50" s="840">
        <v>21594</v>
      </c>
      <c r="AX50" s="840">
        <v>22339.55</v>
      </c>
      <c r="AY50" s="840">
        <v>22759.699999999997</v>
      </c>
      <c r="AZ50" s="840">
        <v>23035.25</v>
      </c>
      <c r="BA50" s="840">
        <v>23342.500000000004</v>
      </c>
      <c r="BB50" s="840">
        <v>23721.100000000002</v>
      </c>
      <c r="BC50" s="840">
        <v>23859.15</v>
      </c>
      <c r="BD50" s="840">
        <v>23769.7</v>
      </c>
      <c r="BE50" s="840">
        <v>24664.9</v>
      </c>
      <c r="BF50" s="840">
        <v>24627.350000000002</v>
      </c>
      <c r="BG50" s="840">
        <v>24922.000000000004</v>
      </c>
      <c r="BH50" s="840">
        <v>26772.799999999999</v>
      </c>
      <c r="BI50" s="840">
        <v>28841.4</v>
      </c>
      <c r="BJ50" s="840">
        <v>30012.45</v>
      </c>
    </row>
    <row r="51" spans="1:62" s="835" customFormat="1" ht="12.25" customHeight="1" x14ac:dyDescent="0.3">
      <c r="A51" s="839" t="s">
        <v>716</v>
      </c>
      <c r="B51" s="838">
        <v>315.60000000000002</v>
      </c>
      <c r="C51" s="838">
        <v>778.5</v>
      </c>
      <c r="D51" s="838">
        <v>825.6</v>
      </c>
      <c r="E51" s="838">
        <v>560</v>
      </c>
      <c r="F51" s="838">
        <v>340</v>
      </c>
      <c r="G51" s="838">
        <v>340</v>
      </c>
      <c r="H51" s="838">
        <v>260.10000000000002</v>
      </c>
      <c r="I51" s="838">
        <v>78.599999999999994</v>
      </c>
      <c r="J51" s="838">
        <v>91.5</v>
      </c>
      <c r="K51" s="838">
        <v>72.599999999999994</v>
      </c>
      <c r="L51" s="838">
        <v>40.9</v>
      </c>
      <c r="M51" s="838">
        <v>52.3</v>
      </c>
      <c r="N51" s="838">
        <v>35</v>
      </c>
      <c r="O51" s="838">
        <v>20</v>
      </c>
      <c r="P51" s="838">
        <v>20</v>
      </c>
      <c r="Q51" s="838">
        <v>15</v>
      </c>
      <c r="R51" s="838">
        <v>20</v>
      </c>
      <c r="S51" s="838">
        <v>97</v>
      </c>
      <c r="T51" s="838">
        <v>250</v>
      </c>
      <c r="U51" s="838">
        <v>360.2</v>
      </c>
      <c r="V51" s="838">
        <v>384.2</v>
      </c>
      <c r="W51" s="838">
        <v>435.2</v>
      </c>
      <c r="X51" s="838">
        <v>253.2</v>
      </c>
      <c r="Y51" s="838">
        <v>75.5</v>
      </c>
      <c r="Z51" s="838">
        <v>61.7</v>
      </c>
      <c r="AA51" s="838">
        <v>115.7</v>
      </c>
      <c r="AB51" s="838">
        <v>45.4</v>
      </c>
      <c r="AC51" s="838">
        <v>83.8</v>
      </c>
      <c r="AD51" s="838">
        <v>124</v>
      </c>
      <c r="AE51" s="838">
        <v>245.85</v>
      </c>
      <c r="AF51" s="838">
        <v>576.45000000000005</v>
      </c>
      <c r="AG51" s="838">
        <v>297.8</v>
      </c>
      <c r="AH51" s="838">
        <v>287.2</v>
      </c>
      <c r="AI51" s="832">
        <v>396</v>
      </c>
      <c r="AJ51" s="832">
        <v>275</v>
      </c>
      <c r="AK51" s="837">
        <v>341</v>
      </c>
      <c r="AL51" s="837">
        <v>315.05</v>
      </c>
      <c r="AM51" s="837">
        <v>262</v>
      </c>
      <c r="AN51" s="837">
        <v>418.15</v>
      </c>
      <c r="AO51" s="837">
        <v>255.15</v>
      </c>
      <c r="AP51" s="837">
        <v>112</v>
      </c>
      <c r="AQ51" s="837">
        <v>55</v>
      </c>
      <c r="AR51" s="837">
        <v>320.95</v>
      </c>
      <c r="AS51" s="837">
        <v>276</v>
      </c>
      <c r="AT51" s="837">
        <v>180</v>
      </c>
      <c r="AU51" s="837">
        <v>715</v>
      </c>
      <c r="AV51" s="837">
        <v>582.95000000000005</v>
      </c>
      <c r="AW51" s="837">
        <v>671</v>
      </c>
      <c r="AX51" s="837">
        <v>251.5</v>
      </c>
      <c r="AY51" s="837">
        <v>1017.35</v>
      </c>
      <c r="AZ51" s="837">
        <v>1059.95</v>
      </c>
      <c r="BA51" s="837">
        <v>1606.2</v>
      </c>
      <c r="BB51" s="837">
        <v>1583.15</v>
      </c>
      <c r="BC51" s="837">
        <v>1505.2</v>
      </c>
      <c r="BD51" s="837">
        <v>1369</v>
      </c>
      <c r="BE51" s="837">
        <v>2013.2</v>
      </c>
      <c r="BF51" s="837">
        <v>1436.6</v>
      </c>
      <c r="BG51" s="837">
        <v>1688.4</v>
      </c>
      <c r="BH51" s="837">
        <v>2767.7</v>
      </c>
      <c r="BI51" s="837">
        <v>2914.8</v>
      </c>
      <c r="BJ51" s="837">
        <v>3220.45</v>
      </c>
    </row>
    <row r="52" spans="1:62" s="835" customFormat="1" ht="12.25" customHeight="1" x14ac:dyDescent="0.3">
      <c r="A52" s="839" t="s">
        <v>715</v>
      </c>
      <c r="B52" s="838">
        <v>4894.03</v>
      </c>
      <c r="C52" s="838">
        <v>4740.13</v>
      </c>
      <c r="D52" s="838">
        <v>5327.23</v>
      </c>
      <c r="E52" s="838">
        <v>5590.53</v>
      </c>
      <c r="F52" s="838">
        <v>6025.9</v>
      </c>
      <c r="G52" s="838">
        <v>6496.1</v>
      </c>
      <c r="H52" s="838">
        <v>8247.1</v>
      </c>
      <c r="I52" s="838">
        <v>8214.2000000000007</v>
      </c>
      <c r="J52" s="838">
        <v>7993.2</v>
      </c>
      <c r="K52" s="838">
        <v>8390.7999999999993</v>
      </c>
      <c r="L52" s="838">
        <v>8744.2999999999993</v>
      </c>
      <c r="M52" s="838">
        <v>9317</v>
      </c>
      <c r="N52" s="838">
        <v>10254.4</v>
      </c>
      <c r="O52" s="838">
        <v>9984.6</v>
      </c>
      <c r="P52" s="838">
        <v>10225.6</v>
      </c>
      <c r="Q52" s="838">
        <v>10147.6</v>
      </c>
      <c r="R52" s="838">
        <v>10852.6</v>
      </c>
      <c r="S52" s="838">
        <v>11111.9</v>
      </c>
      <c r="T52" s="838">
        <v>11365.9</v>
      </c>
      <c r="U52" s="838">
        <v>11987</v>
      </c>
      <c r="V52" s="838">
        <v>12016</v>
      </c>
      <c r="W52" s="838">
        <v>12298</v>
      </c>
      <c r="X52" s="838">
        <v>12209.2</v>
      </c>
      <c r="Y52" s="838">
        <v>12273.800000000001</v>
      </c>
      <c r="Z52" s="838">
        <v>12312.800000000001</v>
      </c>
      <c r="AA52" s="838">
        <v>13159.100000000002</v>
      </c>
      <c r="AB52" s="838">
        <v>13379.100000000002</v>
      </c>
      <c r="AC52" s="838">
        <v>14152.900000000001</v>
      </c>
      <c r="AD52" s="838">
        <v>15632.550000000001</v>
      </c>
      <c r="AE52" s="838">
        <v>17281.75</v>
      </c>
      <c r="AF52" s="838">
        <v>17711.100000000002</v>
      </c>
      <c r="AG52" s="838">
        <v>18164.449999999997</v>
      </c>
      <c r="AH52" s="838">
        <v>18357.099999999999</v>
      </c>
      <c r="AI52" s="832">
        <v>18668.449999999997</v>
      </c>
      <c r="AJ52" s="832">
        <v>18795.449999999997</v>
      </c>
      <c r="AK52" s="837">
        <v>19017.449999999997</v>
      </c>
      <c r="AL52" s="837">
        <v>19149.849999999999</v>
      </c>
      <c r="AM52" s="837">
        <v>18977.8</v>
      </c>
      <c r="AN52" s="837">
        <v>18603.2</v>
      </c>
      <c r="AO52" s="837">
        <v>18591.599999999999</v>
      </c>
      <c r="AP52" s="837">
        <v>18384.849999999999</v>
      </c>
      <c r="AQ52" s="837">
        <v>18370.25</v>
      </c>
      <c r="AR52" s="837">
        <v>18042.449999999997</v>
      </c>
      <c r="AS52" s="837">
        <v>19539.55</v>
      </c>
      <c r="AT52" s="837">
        <v>19687.150000000001</v>
      </c>
      <c r="AU52" s="837">
        <v>19997.55</v>
      </c>
      <c r="AV52" s="837">
        <v>19989.100000000002</v>
      </c>
      <c r="AW52" s="837">
        <v>20923</v>
      </c>
      <c r="AX52" s="837">
        <v>22088.05</v>
      </c>
      <c r="AY52" s="837">
        <v>21742.35</v>
      </c>
      <c r="AZ52" s="837">
        <v>21975.3</v>
      </c>
      <c r="BA52" s="837">
        <v>21736.300000000003</v>
      </c>
      <c r="BB52" s="837">
        <v>22137.95</v>
      </c>
      <c r="BC52" s="837">
        <v>22353.95</v>
      </c>
      <c r="BD52" s="837">
        <v>22400.7</v>
      </c>
      <c r="BE52" s="837">
        <v>22651.7</v>
      </c>
      <c r="BF52" s="837">
        <v>23190.750000000004</v>
      </c>
      <c r="BG52" s="837">
        <v>23233.600000000002</v>
      </c>
      <c r="BH52" s="837">
        <v>24005.1</v>
      </c>
      <c r="BI52" s="837">
        <v>25926.600000000002</v>
      </c>
      <c r="BJ52" s="837">
        <v>26792</v>
      </c>
    </row>
    <row r="53" spans="1:62" ht="6" customHeight="1" x14ac:dyDescent="0.3">
      <c r="A53" s="834"/>
      <c r="B53" s="833"/>
      <c r="C53" s="833"/>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833"/>
      <c r="AE53" s="833"/>
      <c r="AF53" s="833"/>
      <c r="AG53" s="833"/>
      <c r="AH53" s="833"/>
      <c r="AI53" s="832"/>
      <c r="AJ53" s="832"/>
      <c r="AK53" s="831"/>
      <c r="AL53" s="831"/>
      <c r="AM53" s="831"/>
      <c r="AN53" s="831"/>
      <c r="AO53" s="831"/>
      <c r="AP53" s="831"/>
      <c r="AQ53" s="831"/>
      <c r="AR53" s="831"/>
      <c r="AS53" s="831"/>
      <c r="AT53" s="831"/>
      <c r="AU53" s="831"/>
      <c r="AV53" s="831"/>
      <c r="AW53" s="831"/>
      <c r="AX53" s="831"/>
      <c r="AY53" s="831"/>
      <c r="AZ53" s="831"/>
      <c r="BA53" s="831"/>
      <c r="BB53" s="831"/>
      <c r="BC53" s="831"/>
      <c r="BD53" s="831"/>
      <c r="BE53" s="831"/>
      <c r="BF53" s="831"/>
      <c r="BG53" s="831"/>
      <c r="BH53" s="831"/>
      <c r="BI53" s="831"/>
      <c r="BJ53" s="831"/>
    </row>
    <row r="54" spans="1:62" x14ac:dyDescent="0.3">
      <c r="A54" s="842" t="s">
        <v>720</v>
      </c>
      <c r="B54" s="841">
        <v>1632.87</v>
      </c>
      <c r="C54" s="841">
        <v>1817.2999999999965</v>
      </c>
      <c r="D54" s="841">
        <v>1844.8999999999917</v>
      </c>
      <c r="E54" s="841">
        <v>1486.9000000000169</v>
      </c>
      <c r="F54" s="841">
        <v>1567.0000000000127</v>
      </c>
      <c r="G54" s="841">
        <v>1514.6999999999939</v>
      </c>
      <c r="H54" s="841">
        <v>8708.17</v>
      </c>
      <c r="I54" s="841">
        <v>1521.6999999999998</v>
      </c>
      <c r="J54" s="841">
        <v>1582.4000000000162</v>
      </c>
      <c r="K54" s="841">
        <v>1557.0999999999954</v>
      </c>
      <c r="L54" s="841">
        <v>1523.7999999999956</v>
      </c>
      <c r="M54" s="841">
        <v>1488.6000000000097</v>
      </c>
      <c r="N54" s="841">
        <v>1641.5000000000039</v>
      </c>
      <c r="O54" s="841">
        <v>1442.0000000000159</v>
      </c>
      <c r="P54" s="841">
        <v>1430.4000000000206</v>
      </c>
      <c r="Q54" s="841">
        <v>1343.6000000000181</v>
      </c>
      <c r="R54" s="841">
        <v>2527.7000000000153</v>
      </c>
      <c r="S54" s="841">
        <v>1484.7999999999774</v>
      </c>
      <c r="T54" s="841">
        <v>1732.2999999999931</v>
      </c>
      <c r="U54" s="841">
        <v>1880.5000000000084</v>
      </c>
      <c r="V54" s="841">
        <v>2219.6999999999834</v>
      </c>
      <c r="W54" s="841">
        <v>2264.0999999999985</v>
      </c>
      <c r="X54" s="841">
        <v>2660.9999999999941</v>
      </c>
      <c r="Y54" s="841">
        <v>2945.1999999999916</v>
      </c>
      <c r="Z54" s="841">
        <v>2986.1999999999939</v>
      </c>
      <c r="AA54" s="841">
        <v>3869.0500000000084</v>
      </c>
      <c r="AB54" s="841">
        <v>3733.4999999999968</v>
      </c>
      <c r="AC54" s="841">
        <v>3879.8000000000011</v>
      </c>
      <c r="AD54" s="841">
        <v>4932.1999999999944</v>
      </c>
      <c r="AE54" s="841">
        <v>6371.4499999999925</v>
      </c>
      <c r="AF54" s="841">
        <v>7129.4499999999844</v>
      </c>
      <c r="AG54" s="841">
        <v>8627.4500000000135</v>
      </c>
      <c r="AH54" s="841">
        <v>9838.5</v>
      </c>
      <c r="AI54" s="841">
        <v>10818.850000000017</v>
      </c>
      <c r="AJ54" s="841">
        <v>12210.850000000002</v>
      </c>
      <c r="AK54" s="841">
        <v>11786.720000000001</v>
      </c>
      <c r="AL54" s="841">
        <v>12351.94999999999</v>
      </c>
      <c r="AM54" s="841">
        <v>11712.469999999985</v>
      </c>
      <c r="AN54" s="841">
        <v>11754.299999999988</v>
      </c>
      <c r="AO54" s="841">
        <v>11913.799999999963</v>
      </c>
      <c r="AP54" s="841">
        <v>12145.120000000006</v>
      </c>
      <c r="AQ54" s="841">
        <v>13483.450000000003</v>
      </c>
      <c r="AR54" s="841">
        <v>13942.994999999997</v>
      </c>
      <c r="AS54" s="841">
        <v>13850.845000000003</v>
      </c>
      <c r="AT54" s="841">
        <v>14782.050000000007</v>
      </c>
      <c r="AU54" s="841">
        <v>15331.849999999999</v>
      </c>
      <c r="AV54" s="841">
        <v>14904.645000000002</v>
      </c>
      <c r="AW54" s="841">
        <v>15407.399999999983</v>
      </c>
      <c r="AX54" s="841">
        <v>16842.500000000015</v>
      </c>
      <c r="AY54" s="841">
        <v>19301.799999999963</v>
      </c>
      <c r="AZ54" s="841">
        <v>19919.844999999976</v>
      </c>
      <c r="BA54" s="841">
        <v>19880.849999999988</v>
      </c>
      <c r="BB54" s="841">
        <v>20751.149999999994</v>
      </c>
      <c r="BC54" s="841">
        <v>20620.194999999996</v>
      </c>
      <c r="BD54" s="841">
        <v>23359.394999999975</v>
      </c>
      <c r="BE54" s="841">
        <v>23354.274999999983</v>
      </c>
      <c r="BF54" s="841">
        <v>25169.200000000019</v>
      </c>
      <c r="BG54" s="841">
        <v>26584.726000000013</v>
      </c>
      <c r="BH54" s="841">
        <v>28087.549999999981</v>
      </c>
      <c r="BI54" s="841">
        <v>31871.450000000012</v>
      </c>
      <c r="BJ54" s="841">
        <v>36927.845000000001</v>
      </c>
    </row>
    <row r="55" spans="1:62" ht="12.75" customHeight="1" x14ac:dyDescent="0.3">
      <c r="A55" s="839" t="s">
        <v>716</v>
      </c>
      <c r="B55" s="846">
        <v>246.36999999999998</v>
      </c>
      <c r="C55" s="847">
        <v>207.6999999999999</v>
      </c>
      <c r="D55" s="847">
        <v>216.99999999999997</v>
      </c>
      <c r="E55" s="847">
        <v>222.59999999999962</v>
      </c>
      <c r="F55" s="847">
        <v>267.39999999999981</v>
      </c>
      <c r="G55" s="847">
        <v>198.50000000000031</v>
      </c>
      <c r="H55" s="847">
        <v>189.09999999999951</v>
      </c>
      <c r="I55" s="847">
        <v>163.29999999999976</v>
      </c>
      <c r="J55" s="847">
        <v>168.99999999999923</v>
      </c>
      <c r="K55" s="847">
        <v>134.50000000000045</v>
      </c>
      <c r="L55" s="847">
        <v>86.699999999999861</v>
      </c>
      <c r="M55" s="847">
        <v>91.499999999999872</v>
      </c>
      <c r="N55" s="847">
        <v>221.99999999999997</v>
      </c>
      <c r="O55" s="847">
        <v>102.50000000000011</v>
      </c>
      <c r="P55" s="847">
        <v>104.10000000000007</v>
      </c>
      <c r="Q55" s="847">
        <v>55.300000000000011</v>
      </c>
      <c r="R55" s="847">
        <v>91.199999999999847</v>
      </c>
      <c r="S55" s="847">
        <v>178.29999999999995</v>
      </c>
      <c r="T55" s="847">
        <v>381.7999999999999</v>
      </c>
      <c r="U55" s="847">
        <v>184.79999999999978</v>
      </c>
      <c r="V55" s="847">
        <v>532.54999999999995</v>
      </c>
      <c r="W55" s="847">
        <v>264.09999999999985</v>
      </c>
      <c r="X55" s="847">
        <v>303.60000000000008</v>
      </c>
      <c r="Y55" s="847">
        <v>393.5</v>
      </c>
      <c r="Z55" s="847">
        <v>310.70000000000016</v>
      </c>
      <c r="AA55" s="847">
        <v>907.99999999999955</v>
      </c>
      <c r="AB55" s="847">
        <v>509.79999999999978</v>
      </c>
      <c r="AC55" s="847">
        <v>487.25000000000017</v>
      </c>
      <c r="AD55" s="847">
        <v>510.49999999999989</v>
      </c>
      <c r="AE55" s="847">
        <v>1042.8000000000002</v>
      </c>
      <c r="AF55" s="847">
        <v>1127.7</v>
      </c>
      <c r="AG55" s="847">
        <v>1340.5999999999988</v>
      </c>
      <c r="AH55" s="847">
        <v>1853.6000000000001</v>
      </c>
      <c r="AI55" s="847">
        <v>2312.4000000000005</v>
      </c>
      <c r="AJ55" s="847">
        <v>2526.8500000000004</v>
      </c>
      <c r="AK55" s="847">
        <v>690.75</v>
      </c>
      <c r="AL55" s="847">
        <v>1591.4000000000012</v>
      </c>
      <c r="AM55" s="847">
        <v>982.15000000000111</v>
      </c>
      <c r="AN55" s="847">
        <v>1384.5499999999968</v>
      </c>
      <c r="AO55" s="847">
        <v>967.099999999999</v>
      </c>
      <c r="AP55" s="847">
        <v>1641.8499999999995</v>
      </c>
      <c r="AQ55" s="847">
        <v>2069.3500000000008</v>
      </c>
      <c r="AR55" s="847">
        <v>1858.65</v>
      </c>
      <c r="AS55" s="847">
        <v>1562.3499999999992</v>
      </c>
      <c r="AT55" s="847">
        <v>1727.5000000000045</v>
      </c>
      <c r="AU55" s="847">
        <v>2018.3</v>
      </c>
      <c r="AV55" s="847">
        <v>1943.3999999999996</v>
      </c>
      <c r="AW55" s="847">
        <v>1861</v>
      </c>
      <c r="AX55" s="847">
        <v>2330.6500000000005</v>
      </c>
      <c r="AY55" s="847">
        <v>2606.4500000000012</v>
      </c>
      <c r="AZ55" s="847">
        <v>2899.9999999999973</v>
      </c>
      <c r="BA55" s="847">
        <v>2683.5999999999985</v>
      </c>
      <c r="BB55" s="847">
        <v>2823.7999999999975</v>
      </c>
      <c r="BC55" s="847">
        <v>1884.2499999999991</v>
      </c>
      <c r="BD55" s="846">
        <v>4517.1999999999989</v>
      </c>
      <c r="BE55" s="846">
        <v>3573.4500000000007</v>
      </c>
      <c r="BF55" s="846">
        <v>4853.5000000000018</v>
      </c>
      <c r="BG55" s="846">
        <v>5703.3999999999987</v>
      </c>
      <c r="BH55" s="846">
        <v>6218.7499999999991</v>
      </c>
      <c r="BI55" s="846">
        <v>9456.6</v>
      </c>
      <c r="BJ55" s="846">
        <v>10646.350000000006</v>
      </c>
    </row>
    <row r="56" spans="1:62" ht="12.75" customHeight="1" x14ac:dyDescent="0.3">
      <c r="A56" s="839" t="s">
        <v>715</v>
      </c>
      <c r="B56" s="847">
        <v>1386.5</v>
      </c>
      <c r="C56" s="847">
        <v>1609.5999999999967</v>
      </c>
      <c r="D56" s="847">
        <v>1627.8999999999917</v>
      </c>
      <c r="E56" s="847">
        <v>1264.3000000000172</v>
      </c>
      <c r="F56" s="847">
        <v>1299.6000000000129</v>
      </c>
      <c r="G56" s="847">
        <v>1316.1999999999937</v>
      </c>
      <c r="H56" s="847">
        <v>8519.07</v>
      </c>
      <c r="I56" s="847">
        <v>1358.4</v>
      </c>
      <c r="J56" s="847">
        <v>1413.4000000000169</v>
      </c>
      <c r="K56" s="847">
        <v>1422.5999999999949</v>
      </c>
      <c r="L56" s="847">
        <v>1437.0999999999958</v>
      </c>
      <c r="M56" s="847">
        <v>1397.1000000000099</v>
      </c>
      <c r="N56" s="847">
        <v>1419.5000000000039</v>
      </c>
      <c r="O56" s="847">
        <v>1339.5000000000159</v>
      </c>
      <c r="P56" s="847">
        <v>1326.3000000000204</v>
      </c>
      <c r="Q56" s="847">
        <v>1288.3000000000181</v>
      </c>
      <c r="R56" s="847">
        <v>2436.5000000000155</v>
      </c>
      <c r="S56" s="847">
        <v>1306.4999999999775</v>
      </c>
      <c r="T56" s="847">
        <v>1350.4999999999932</v>
      </c>
      <c r="U56" s="847">
        <v>1695.7000000000087</v>
      </c>
      <c r="V56" s="847">
        <v>1687.1499999999837</v>
      </c>
      <c r="W56" s="847">
        <v>1999.9999999999989</v>
      </c>
      <c r="X56" s="847">
        <v>2357.3999999999942</v>
      </c>
      <c r="Y56" s="847">
        <v>2551.6999999999916</v>
      </c>
      <c r="Z56" s="847">
        <v>2675.4999999999936</v>
      </c>
      <c r="AA56" s="847">
        <v>2961.0500000000088</v>
      </c>
      <c r="AB56" s="847">
        <v>3223.6999999999971</v>
      </c>
      <c r="AC56" s="847">
        <v>3392.5500000000011</v>
      </c>
      <c r="AD56" s="847">
        <v>4421.6999999999944</v>
      </c>
      <c r="AE56" s="847">
        <v>5328.6499999999924</v>
      </c>
      <c r="AF56" s="847">
        <v>6001.7499999999845</v>
      </c>
      <c r="AG56" s="847">
        <v>7286.8500000000149</v>
      </c>
      <c r="AH56" s="847">
        <v>7984.9</v>
      </c>
      <c r="AI56" s="837">
        <v>8506.4500000000153</v>
      </c>
      <c r="AJ56" s="837">
        <v>9684.0000000000018</v>
      </c>
      <c r="AK56" s="836">
        <v>11095.970000000001</v>
      </c>
      <c r="AL56" s="836">
        <v>10760.549999999988</v>
      </c>
      <c r="AM56" s="836">
        <v>10730.319999999983</v>
      </c>
      <c r="AN56" s="836">
        <v>10369.749999999991</v>
      </c>
      <c r="AO56" s="836">
        <v>10946.699999999964</v>
      </c>
      <c r="AP56" s="836">
        <v>10503.270000000008</v>
      </c>
      <c r="AQ56" s="836">
        <v>11414.100000000002</v>
      </c>
      <c r="AR56" s="836">
        <v>12084.344999999998</v>
      </c>
      <c r="AS56" s="836">
        <v>12288.495000000004</v>
      </c>
      <c r="AT56" s="836">
        <v>13054.550000000001</v>
      </c>
      <c r="AU56" s="836">
        <v>13313.55</v>
      </c>
      <c r="AV56" s="836">
        <v>12961.245000000003</v>
      </c>
      <c r="AW56" s="836">
        <v>13546.399999999983</v>
      </c>
      <c r="AX56" s="836">
        <v>14511.850000000015</v>
      </c>
      <c r="AY56" s="836">
        <v>16695.349999999962</v>
      </c>
      <c r="AZ56" s="836">
        <v>17019.844999999979</v>
      </c>
      <c r="BA56" s="836">
        <v>17197.249999999989</v>
      </c>
      <c r="BB56" s="836">
        <v>17927.349999999999</v>
      </c>
      <c r="BC56" s="836">
        <v>18735.944999999996</v>
      </c>
      <c r="BD56" s="846">
        <v>18842.194999999978</v>
      </c>
      <c r="BE56" s="846">
        <v>19780.824999999983</v>
      </c>
      <c r="BF56" s="846">
        <v>20315.700000000015</v>
      </c>
      <c r="BG56" s="846">
        <v>20881.326000000015</v>
      </c>
      <c r="BH56" s="846">
        <v>21868.799999999981</v>
      </c>
      <c r="BI56" s="846">
        <v>22414.850000000009</v>
      </c>
      <c r="BJ56" s="846">
        <v>26281.494999999992</v>
      </c>
    </row>
    <row r="57" spans="1:62" ht="6" customHeight="1" x14ac:dyDescent="0.3">
      <c r="A57" s="834"/>
      <c r="B57" s="833"/>
      <c r="C57" s="833"/>
      <c r="D57" s="833"/>
      <c r="E57" s="833"/>
      <c r="F57" s="833"/>
      <c r="G57" s="833"/>
      <c r="H57" s="833"/>
      <c r="I57" s="833"/>
      <c r="J57" s="833"/>
      <c r="K57" s="833"/>
      <c r="L57" s="833"/>
      <c r="M57" s="833"/>
      <c r="N57" s="833"/>
      <c r="O57" s="833"/>
      <c r="P57" s="833"/>
      <c r="Q57" s="833"/>
      <c r="R57" s="833"/>
      <c r="S57" s="833"/>
      <c r="T57" s="833"/>
      <c r="U57" s="833"/>
      <c r="V57" s="833"/>
      <c r="W57" s="833"/>
      <c r="X57" s="833"/>
      <c r="Y57" s="833"/>
      <c r="Z57" s="833"/>
      <c r="AA57" s="833"/>
      <c r="AB57" s="833"/>
      <c r="AC57" s="833"/>
      <c r="AD57" s="833"/>
      <c r="AE57" s="833"/>
      <c r="AF57" s="833"/>
      <c r="AG57" s="833"/>
      <c r="AH57" s="833"/>
      <c r="AI57" s="832"/>
      <c r="AJ57" s="832"/>
      <c r="AK57" s="831"/>
      <c r="AL57" s="831"/>
      <c r="AM57" s="831"/>
      <c r="AN57" s="831"/>
      <c r="AO57" s="831"/>
      <c r="AP57" s="831"/>
      <c r="AQ57" s="831"/>
      <c r="AR57" s="831"/>
      <c r="AS57" s="831"/>
      <c r="AT57" s="831"/>
      <c r="AU57" s="831"/>
      <c r="AV57" s="831"/>
      <c r="AW57" s="831"/>
      <c r="AX57" s="831"/>
      <c r="AY57" s="831"/>
      <c r="AZ57" s="831"/>
      <c r="BA57" s="831"/>
      <c r="BB57" s="831"/>
      <c r="BC57" s="831"/>
      <c r="BD57" s="831"/>
      <c r="BE57" s="831"/>
      <c r="BF57" s="831"/>
      <c r="BG57" s="831"/>
      <c r="BH57" s="831"/>
      <c r="BI57" s="831"/>
      <c r="BJ57" s="831"/>
    </row>
    <row r="58" spans="1:62" x14ac:dyDescent="0.3">
      <c r="A58" s="854" t="s">
        <v>719</v>
      </c>
      <c r="B58" s="845">
        <v>361.95</v>
      </c>
      <c r="C58" s="845">
        <v>341.5</v>
      </c>
      <c r="D58" s="845">
        <v>279.2</v>
      </c>
      <c r="E58" s="845">
        <v>274.25</v>
      </c>
      <c r="F58" s="845">
        <v>256.75</v>
      </c>
      <c r="G58" s="845">
        <v>250.35000000000002</v>
      </c>
      <c r="H58" s="845">
        <v>241.55</v>
      </c>
      <c r="I58" s="845">
        <v>230.6</v>
      </c>
      <c r="J58" s="845">
        <v>225.70000000000002</v>
      </c>
      <c r="K58" s="845">
        <v>215.95</v>
      </c>
      <c r="L58" s="845">
        <v>212.25</v>
      </c>
      <c r="M58" s="845">
        <v>172.75</v>
      </c>
      <c r="N58" s="845">
        <v>166.8</v>
      </c>
      <c r="O58" s="845">
        <v>150.85000000000002</v>
      </c>
      <c r="P58" s="845">
        <v>1093</v>
      </c>
      <c r="Q58" s="845">
        <v>1541.8</v>
      </c>
      <c r="R58" s="845">
        <v>1790.6000000000001</v>
      </c>
      <c r="S58" s="845">
        <v>1789.25</v>
      </c>
      <c r="T58" s="845">
        <v>1785.6499999999999</v>
      </c>
      <c r="U58" s="845">
        <v>1698.8999999999999</v>
      </c>
      <c r="V58" s="845">
        <v>1721.65</v>
      </c>
      <c r="W58" s="845">
        <v>1712.35</v>
      </c>
      <c r="X58" s="845">
        <v>1778.05</v>
      </c>
      <c r="Y58" s="845">
        <v>1773.25</v>
      </c>
      <c r="Z58" s="845">
        <v>1841.8</v>
      </c>
      <c r="AA58" s="845">
        <v>1905.1499999999999</v>
      </c>
      <c r="AB58" s="845">
        <v>1567.3</v>
      </c>
      <c r="AC58" s="845">
        <v>1568.35</v>
      </c>
      <c r="AD58" s="845">
        <v>1809.2</v>
      </c>
      <c r="AE58" s="845">
        <v>2397.85</v>
      </c>
      <c r="AF58" s="845">
        <v>3740.75</v>
      </c>
      <c r="AG58" s="845">
        <v>5635.95</v>
      </c>
      <c r="AH58" s="845">
        <v>6856.55</v>
      </c>
      <c r="AI58" s="845">
        <v>8474.1</v>
      </c>
      <c r="AJ58" s="845">
        <v>12577.38</v>
      </c>
      <c r="AK58" s="845">
        <v>14529.43</v>
      </c>
      <c r="AL58" s="845">
        <v>15060.23</v>
      </c>
      <c r="AM58" s="845">
        <v>15051.23</v>
      </c>
      <c r="AN58" s="845">
        <v>14881.15</v>
      </c>
      <c r="AO58" s="845">
        <v>14661.629999999997</v>
      </c>
      <c r="AP58" s="845">
        <v>14569.08</v>
      </c>
      <c r="AQ58" s="845">
        <v>14517.749999999998</v>
      </c>
      <c r="AR58" s="845">
        <v>14001.94</v>
      </c>
      <c r="AS58" s="845">
        <v>13866.33</v>
      </c>
      <c r="AT58" s="845">
        <v>14015.699999999999</v>
      </c>
      <c r="AU58" s="845">
        <v>14094.72</v>
      </c>
      <c r="AV58" s="845">
        <v>13881.789999999999</v>
      </c>
      <c r="AW58" s="845">
        <v>13512.8</v>
      </c>
      <c r="AX58" s="845">
        <v>14227.78</v>
      </c>
      <c r="AY58" s="845">
        <v>14024.33</v>
      </c>
      <c r="AZ58" s="845">
        <v>13671.3</v>
      </c>
      <c r="BA58" s="845">
        <v>13413.300000000001</v>
      </c>
      <c r="BB58" s="845">
        <v>13184.6</v>
      </c>
      <c r="BC58" s="845">
        <v>13116.43</v>
      </c>
      <c r="BD58" s="845">
        <v>13537.580000000002</v>
      </c>
      <c r="BE58" s="845">
        <v>13595.140000000001</v>
      </c>
      <c r="BF58" s="845">
        <v>15025.074999999999</v>
      </c>
      <c r="BG58" s="845">
        <v>17875.740000000002</v>
      </c>
      <c r="BH58" s="845">
        <v>21456.69</v>
      </c>
      <c r="BI58" s="845">
        <v>23398.07</v>
      </c>
      <c r="BJ58" s="845">
        <v>25343.35</v>
      </c>
    </row>
    <row r="59" spans="1:62" ht="11.25" customHeight="1" x14ac:dyDescent="0.3">
      <c r="A59" s="839" t="s">
        <v>716</v>
      </c>
      <c r="B59" s="838">
        <v>51.9</v>
      </c>
      <c r="C59" s="838">
        <v>43.65</v>
      </c>
      <c r="D59" s="838">
        <v>38.15</v>
      </c>
      <c r="E59" s="838">
        <v>40.700000000000003</v>
      </c>
      <c r="F59" s="838">
        <v>38.950000000000003</v>
      </c>
      <c r="G59" s="838">
        <v>38.15</v>
      </c>
      <c r="H59" s="838">
        <v>35.549999999999997</v>
      </c>
      <c r="I59" s="838">
        <v>31.6</v>
      </c>
      <c r="J59" s="838">
        <v>29.15</v>
      </c>
      <c r="K59" s="838">
        <v>20.8</v>
      </c>
      <c r="L59" s="838">
        <v>16.8</v>
      </c>
      <c r="M59" s="838">
        <v>14.45</v>
      </c>
      <c r="N59" s="838">
        <v>9.4</v>
      </c>
      <c r="O59" s="838">
        <v>10</v>
      </c>
      <c r="P59" s="838">
        <v>10.7</v>
      </c>
      <c r="Q59" s="838">
        <v>110.6</v>
      </c>
      <c r="R59" s="838">
        <v>163.80000000000001</v>
      </c>
      <c r="S59" s="838">
        <v>163.55000000000001</v>
      </c>
      <c r="T59" s="838">
        <v>163.55000000000001</v>
      </c>
      <c r="U59" s="838">
        <v>64.849999999999994</v>
      </c>
      <c r="V59" s="838">
        <v>44.15</v>
      </c>
      <c r="W59" s="838">
        <v>21.3</v>
      </c>
      <c r="X59" s="838">
        <v>21.3</v>
      </c>
      <c r="Y59" s="838">
        <v>18</v>
      </c>
      <c r="Z59" s="838">
        <v>8</v>
      </c>
      <c r="AA59" s="838">
        <v>12.8</v>
      </c>
      <c r="AB59" s="838">
        <v>12.8</v>
      </c>
      <c r="AC59" s="838">
        <v>5.15</v>
      </c>
      <c r="AD59" s="838">
        <v>105.85</v>
      </c>
      <c r="AE59" s="838">
        <v>226.8</v>
      </c>
      <c r="AF59" s="838">
        <v>484.7</v>
      </c>
      <c r="AG59" s="838">
        <v>763.7</v>
      </c>
      <c r="AH59" s="838">
        <v>939.7</v>
      </c>
      <c r="AI59" s="832">
        <v>1376.1</v>
      </c>
      <c r="AJ59" s="832">
        <v>1215.3</v>
      </c>
      <c r="AK59" s="832">
        <v>938</v>
      </c>
      <c r="AL59" s="832">
        <v>732.3</v>
      </c>
      <c r="AM59" s="832">
        <v>665.4</v>
      </c>
      <c r="AN59" s="832">
        <v>396</v>
      </c>
      <c r="AO59" s="832">
        <v>188.8</v>
      </c>
      <c r="AP59" s="832">
        <v>117.1</v>
      </c>
      <c r="AQ59" s="832">
        <v>211.15</v>
      </c>
      <c r="AR59" s="832">
        <v>243.1</v>
      </c>
      <c r="AS59" s="832">
        <v>424.75</v>
      </c>
      <c r="AT59" s="832">
        <v>373</v>
      </c>
      <c r="AU59" s="832">
        <v>236.3</v>
      </c>
      <c r="AV59" s="832">
        <v>188.9</v>
      </c>
      <c r="AW59" s="832">
        <v>219</v>
      </c>
      <c r="AX59" s="832">
        <v>761.25</v>
      </c>
      <c r="AY59" s="832">
        <v>1085.1500000000001</v>
      </c>
      <c r="AZ59" s="832">
        <v>744.9</v>
      </c>
      <c r="BA59" s="832">
        <v>754.6</v>
      </c>
      <c r="BB59" s="832">
        <v>570.45000000000005</v>
      </c>
      <c r="BC59" s="832">
        <v>597.75</v>
      </c>
      <c r="BD59" s="843">
        <v>747.7</v>
      </c>
      <c r="BE59" s="843">
        <v>787.7</v>
      </c>
      <c r="BF59" s="843">
        <v>1714.15</v>
      </c>
      <c r="BG59" s="843">
        <v>3246.4</v>
      </c>
      <c r="BH59" s="843">
        <v>4611.05</v>
      </c>
      <c r="BI59" s="843">
        <v>5228.95</v>
      </c>
      <c r="BJ59" s="843">
        <v>5341.75</v>
      </c>
    </row>
    <row r="60" spans="1:62" ht="15" customHeight="1" x14ac:dyDescent="0.3">
      <c r="A60" s="844" t="s">
        <v>718</v>
      </c>
      <c r="B60" s="838">
        <v>310.05</v>
      </c>
      <c r="C60" s="838">
        <v>297.85000000000002</v>
      </c>
      <c r="D60" s="838">
        <v>241.05</v>
      </c>
      <c r="E60" s="838">
        <v>233.55</v>
      </c>
      <c r="F60" s="838">
        <v>217.8</v>
      </c>
      <c r="G60" s="838">
        <v>212.20000000000002</v>
      </c>
      <c r="H60" s="838">
        <v>206</v>
      </c>
      <c r="I60" s="838">
        <v>199</v>
      </c>
      <c r="J60" s="838">
        <v>196.55</v>
      </c>
      <c r="K60" s="838">
        <v>195.14999999999998</v>
      </c>
      <c r="L60" s="838">
        <v>195.45</v>
      </c>
      <c r="M60" s="838">
        <v>158.30000000000001</v>
      </c>
      <c r="N60" s="838">
        <v>157.4</v>
      </c>
      <c r="O60" s="838">
        <v>140.85000000000002</v>
      </c>
      <c r="P60" s="838">
        <v>1082.3</v>
      </c>
      <c r="Q60" s="838">
        <v>1431.2</v>
      </c>
      <c r="R60" s="838">
        <v>1626.8000000000002</v>
      </c>
      <c r="S60" s="838">
        <v>1625.7</v>
      </c>
      <c r="T60" s="838">
        <v>1622.1</v>
      </c>
      <c r="U60" s="838">
        <v>1634.05</v>
      </c>
      <c r="V60" s="838">
        <v>1677.5</v>
      </c>
      <c r="W60" s="838">
        <v>1691.05</v>
      </c>
      <c r="X60" s="838">
        <v>1756.75</v>
      </c>
      <c r="Y60" s="838">
        <v>1755.25</v>
      </c>
      <c r="Z60" s="838">
        <v>1833.8</v>
      </c>
      <c r="AA60" s="838">
        <v>1892.35</v>
      </c>
      <c r="AB60" s="838">
        <v>1554.5</v>
      </c>
      <c r="AC60" s="838">
        <v>1563.1999999999998</v>
      </c>
      <c r="AD60" s="838">
        <v>1703.3500000000001</v>
      </c>
      <c r="AE60" s="838">
        <v>2171.0499999999997</v>
      </c>
      <c r="AF60" s="838">
        <v>3256.05</v>
      </c>
      <c r="AG60" s="838">
        <v>4872.25</v>
      </c>
      <c r="AH60" s="838">
        <v>5916.85</v>
      </c>
      <c r="AI60" s="832">
        <v>7098</v>
      </c>
      <c r="AJ60" s="832">
        <v>11362.08</v>
      </c>
      <c r="AK60" s="832">
        <v>13591.43</v>
      </c>
      <c r="AL60" s="832">
        <v>14327.93</v>
      </c>
      <c r="AM60" s="832">
        <v>14385.83</v>
      </c>
      <c r="AN60" s="832">
        <v>14485.15</v>
      </c>
      <c r="AO60" s="832">
        <v>14472.829999999998</v>
      </c>
      <c r="AP60" s="832">
        <v>14451.98</v>
      </c>
      <c r="AQ60" s="832">
        <v>14306.599999999999</v>
      </c>
      <c r="AR60" s="832">
        <v>13758.84</v>
      </c>
      <c r="AS60" s="832">
        <v>13441.58</v>
      </c>
      <c r="AT60" s="832">
        <v>13642.699999999999</v>
      </c>
      <c r="AU60" s="832">
        <v>13858.42</v>
      </c>
      <c r="AV60" s="832">
        <v>13692.89</v>
      </c>
      <c r="AW60" s="832">
        <v>13293.8</v>
      </c>
      <c r="AX60" s="832">
        <v>13466.53</v>
      </c>
      <c r="AY60" s="832">
        <v>12939.18</v>
      </c>
      <c r="AZ60" s="832">
        <v>12926.4</v>
      </c>
      <c r="BA60" s="832">
        <v>12658.7</v>
      </c>
      <c r="BB60" s="832">
        <v>12614.15</v>
      </c>
      <c r="BC60" s="832">
        <v>12518.68</v>
      </c>
      <c r="BD60" s="843">
        <v>12789.880000000001</v>
      </c>
      <c r="BE60" s="843">
        <v>12807.44</v>
      </c>
      <c r="BF60" s="843">
        <v>13310.924999999999</v>
      </c>
      <c r="BG60" s="843">
        <v>14629.34</v>
      </c>
      <c r="BH60" s="843">
        <v>16845.64</v>
      </c>
      <c r="BI60" s="843">
        <v>18169.12</v>
      </c>
      <c r="BJ60" s="843">
        <v>20001.599999999999</v>
      </c>
    </row>
    <row r="61" spans="1:62" ht="6" customHeight="1" x14ac:dyDescent="0.3">
      <c r="A61" s="834"/>
      <c r="B61" s="833"/>
      <c r="C61" s="833"/>
      <c r="D61" s="833"/>
      <c r="E61" s="833"/>
      <c r="F61" s="833"/>
      <c r="G61" s="833"/>
      <c r="H61" s="833"/>
      <c r="I61" s="833"/>
      <c r="J61" s="833"/>
      <c r="K61" s="833"/>
      <c r="L61" s="833"/>
      <c r="M61" s="833"/>
      <c r="N61" s="833"/>
      <c r="O61" s="833"/>
      <c r="P61" s="833"/>
      <c r="Q61" s="833"/>
      <c r="R61" s="833"/>
      <c r="S61" s="833"/>
      <c r="T61" s="833"/>
      <c r="U61" s="833"/>
      <c r="V61" s="833"/>
      <c r="W61" s="833"/>
      <c r="X61" s="833"/>
      <c r="Y61" s="833"/>
      <c r="Z61" s="833"/>
      <c r="AA61" s="833"/>
      <c r="AB61" s="833"/>
      <c r="AC61" s="833"/>
      <c r="AD61" s="833"/>
      <c r="AE61" s="833"/>
      <c r="AF61" s="833"/>
      <c r="AG61" s="833"/>
      <c r="AH61" s="833"/>
      <c r="AI61" s="832"/>
      <c r="AJ61" s="832"/>
      <c r="AK61" s="831"/>
      <c r="AL61" s="831"/>
      <c r="AM61" s="831"/>
      <c r="AN61" s="831"/>
      <c r="AO61" s="831"/>
      <c r="AP61" s="831"/>
      <c r="AQ61" s="831"/>
      <c r="AR61" s="831"/>
      <c r="AS61" s="831"/>
      <c r="AT61" s="831"/>
      <c r="AU61" s="831"/>
      <c r="AV61" s="831"/>
      <c r="AW61" s="831"/>
      <c r="AX61" s="831"/>
      <c r="AY61" s="831"/>
      <c r="AZ61" s="831"/>
      <c r="BA61" s="831"/>
      <c r="BB61" s="831"/>
      <c r="BC61" s="831"/>
      <c r="BD61" s="831"/>
      <c r="BE61" s="831"/>
      <c r="BF61" s="831"/>
      <c r="BG61" s="831"/>
      <c r="BH61" s="831"/>
      <c r="BI61" s="831"/>
      <c r="BJ61" s="831"/>
    </row>
    <row r="62" spans="1:62" x14ac:dyDescent="0.3">
      <c r="A62" s="854" t="s">
        <v>717</v>
      </c>
      <c r="B62" s="841">
        <v>87.7</v>
      </c>
      <c r="C62" s="841">
        <v>21</v>
      </c>
      <c r="D62" s="841">
        <v>75</v>
      </c>
      <c r="E62" s="841">
        <v>282.60000000000002</v>
      </c>
      <c r="F62" s="841">
        <v>343.6</v>
      </c>
      <c r="G62" s="841">
        <v>844.7</v>
      </c>
      <c r="H62" s="841">
        <v>412</v>
      </c>
      <c r="I62" s="841">
        <v>241</v>
      </c>
      <c r="J62" s="841">
        <v>61.3</v>
      </c>
      <c r="K62" s="841">
        <v>157</v>
      </c>
      <c r="L62" s="841">
        <v>210.20000000000002</v>
      </c>
      <c r="M62" s="841">
        <v>426.7</v>
      </c>
      <c r="N62" s="841">
        <v>464.7</v>
      </c>
      <c r="O62" s="841">
        <v>418.3</v>
      </c>
      <c r="P62" s="841">
        <v>356.1</v>
      </c>
      <c r="Q62" s="841">
        <v>233.9</v>
      </c>
      <c r="R62" s="841">
        <v>83.4</v>
      </c>
      <c r="S62" s="841">
        <v>46.3</v>
      </c>
      <c r="T62" s="841">
        <v>53.8</v>
      </c>
      <c r="U62" s="841">
        <v>185.2</v>
      </c>
      <c r="V62" s="841">
        <v>186.2</v>
      </c>
      <c r="W62" s="841">
        <v>187.7</v>
      </c>
      <c r="X62" s="841">
        <v>195</v>
      </c>
      <c r="Y62" s="841">
        <v>91.6</v>
      </c>
      <c r="Z62" s="841">
        <v>193.89999999999998</v>
      </c>
      <c r="AA62" s="841">
        <v>348.1</v>
      </c>
      <c r="AB62" s="841">
        <v>307.7</v>
      </c>
      <c r="AC62" s="841">
        <v>281.2</v>
      </c>
      <c r="AD62" s="841">
        <v>286</v>
      </c>
      <c r="AE62" s="841">
        <v>284.90000000000003</v>
      </c>
      <c r="AF62" s="841">
        <v>170.40000000000003</v>
      </c>
      <c r="AG62" s="841">
        <v>180.35000000000002</v>
      </c>
      <c r="AH62" s="841">
        <v>175.5</v>
      </c>
      <c r="AI62" s="841">
        <v>174.50000000000003</v>
      </c>
      <c r="AJ62" s="841">
        <v>210.00000000000003</v>
      </c>
      <c r="AK62" s="840">
        <v>300.85000000000002</v>
      </c>
      <c r="AL62" s="840">
        <v>320.39999999999998</v>
      </c>
      <c r="AM62" s="840">
        <v>364.2</v>
      </c>
      <c r="AN62" s="840">
        <v>328.2</v>
      </c>
      <c r="AO62" s="840">
        <v>324.85000000000002</v>
      </c>
      <c r="AP62" s="840">
        <v>1849.1</v>
      </c>
      <c r="AQ62" s="840">
        <v>367.40000000000003</v>
      </c>
      <c r="AR62" s="840">
        <v>359.4</v>
      </c>
      <c r="AS62" s="840">
        <v>404.75</v>
      </c>
      <c r="AT62" s="840">
        <v>400.84999999999997</v>
      </c>
      <c r="AU62" s="840">
        <v>378.54999999999927</v>
      </c>
      <c r="AV62" s="840">
        <v>384.45000000000039</v>
      </c>
      <c r="AW62" s="840">
        <v>342</v>
      </c>
      <c r="AX62" s="840">
        <v>369.45</v>
      </c>
      <c r="AY62" s="840">
        <v>410.75</v>
      </c>
      <c r="AZ62" s="840">
        <v>365.95</v>
      </c>
      <c r="BA62" s="840">
        <v>415.6</v>
      </c>
      <c r="BB62" s="840">
        <v>428.3</v>
      </c>
      <c r="BC62" s="840">
        <v>426.05</v>
      </c>
      <c r="BD62" s="840">
        <v>461.55</v>
      </c>
      <c r="BE62" s="840">
        <v>478.65</v>
      </c>
      <c r="BF62" s="840">
        <v>510</v>
      </c>
      <c r="BG62" s="840">
        <v>584</v>
      </c>
      <c r="BH62" s="840">
        <v>672.3</v>
      </c>
      <c r="BI62" s="840">
        <v>851</v>
      </c>
      <c r="BJ62" s="840">
        <v>1743</v>
      </c>
    </row>
    <row r="63" spans="1:62" s="835" customFormat="1" ht="11.25" customHeight="1" x14ac:dyDescent="0.3">
      <c r="A63" s="839" t="s">
        <v>716</v>
      </c>
      <c r="B63" s="838">
        <v>81.7</v>
      </c>
      <c r="C63" s="838">
        <v>15</v>
      </c>
      <c r="D63" s="838">
        <v>65</v>
      </c>
      <c r="E63" s="838">
        <v>272.60000000000002</v>
      </c>
      <c r="F63" s="838">
        <v>330.6</v>
      </c>
      <c r="G63" s="838">
        <v>819.7</v>
      </c>
      <c r="H63" s="838">
        <v>387</v>
      </c>
      <c r="I63" s="838">
        <v>216</v>
      </c>
      <c r="J63" s="838">
        <v>36.299999999999997</v>
      </c>
      <c r="K63" s="838">
        <v>131.69999999999999</v>
      </c>
      <c r="L63" s="838">
        <v>183.9</v>
      </c>
      <c r="M63" s="838">
        <v>400.4</v>
      </c>
      <c r="N63" s="838">
        <v>437.9</v>
      </c>
      <c r="O63" s="838">
        <v>391.5</v>
      </c>
      <c r="P63" s="838">
        <v>329.3</v>
      </c>
      <c r="Q63" s="838">
        <v>207.1</v>
      </c>
      <c r="R63" s="838">
        <v>53.1</v>
      </c>
      <c r="S63" s="838">
        <v>16</v>
      </c>
      <c r="T63" s="838">
        <v>20</v>
      </c>
      <c r="U63" s="838">
        <v>131.4</v>
      </c>
      <c r="V63" s="838">
        <v>131.4</v>
      </c>
      <c r="W63" s="838">
        <v>127.8</v>
      </c>
      <c r="X63" s="838">
        <v>135.1</v>
      </c>
      <c r="Y63" s="838">
        <v>31.7</v>
      </c>
      <c r="Z63" s="838">
        <v>39</v>
      </c>
      <c r="AA63" s="838">
        <v>39.200000000000003</v>
      </c>
      <c r="AB63" s="838">
        <v>35.5</v>
      </c>
      <c r="AC63" s="838">
        <v>28.2</v>
      </c>
      <c r="AD63" s="838">
        <v>29.3</v>
      </c>
      <c r="AE63" s="838">
        <v>14.3</v>
      </c>
      <c r="AF63" s="838">
        <v>12.4</v>
      </c>
      <c r="AG63" s="838">
        <v>17.399999999999999</v>
      </c>
      <c r="AH63" s="838">
        <v>11.9</v>
      </c>
      <c r="AI63" s="832">
        <v>10.3</v>
      </c>
      <c r="AJ63" s="832">
        <v>13.4</v>
      </c>
      <c r="AK63" s="837">
        <v>36</v>
      </c>
      <c r="AL63" s="837">
        <v>20.65</v>
      </c>
      <c r="AM63" s="837">
        <v>33.950000000000003</v>
      </c>
      <c r="AN63" s="837">
        <v>31.95</v>
      </c>
      <c r="AO63" s="837">
        <v>24.6</v>
      </c>
      <c r="AP63" s="837">
        <v>24.6</v>
      </c>
      <c r="AQ63" s="837">
        <v>21.7</v>
      </c>
      <c r="AR63" s="837">
        <v>21.65</v>
      </c>
      <c r="AS63" s="837">
        <v>31.45</v>
      </c>
      <c r="AT63" s="837">
        <v>27.45</v>
      </c>
      <c r="AU63" s="837">
        <v>43</v>
      </c>
      <c r="AV63" s="837">
        <v>44.6</v>
      </c>
      <c r="AW63" s="837">
        <v>38</v>
      </c>
      <c r="AX63" s="837">
        <v>60.55</v>
      </c>
      <c r="AY63" s="837">
        <v>77.099999999999994</v>
      </c>
      <c r="AZ63" s="837">
        <v>35.35</v>
      </c>
      <c r="BA63" s="837">
        <v>45.6</v>
      </c>
      <c r="BB63" s="837">
        <v>40.299999999999997</v>
      </c>
      <c r="BC63" s="837">
        <v>36.799999999999997</v>
      </c>
      <c r="BD63" s="837">
        <v>62.55</v>
      </c>
      <c r="BE63" s="837">
        <v>34.65</v>
      </c>
      <c r="BF63" s="837">
        <v>85</v>
      </c>
      <c r="BG63" s="837">
        <v>139</v>
      </c>
      <c r="BH63" s="837">
        <v>156</v>
      </c>
      <c r="BI63" s="837">
        <v>266</v>
      </c>
      <c r="BJ63" s="837">
        <v>1086</v>
      </c>
    </row>
    <row r="64" spans="1:62" s="835" customFormat="1" ht="12.75" customHeight="1" x14ac:dyDescent="0.3">
      <c r="A64" s="839" t="s">
        <v>715</v>
      </c>
      <c r="B64" s="838">
        <v>6</v>
      </c>
      <c r="C64" s="838">
        <v>6</v>
      </c>
      <c r="D64" s="838">
        <v>10</v>
      </c>
      <c r="E64" s="838">
        <v>10</v>
      </c>
      <c r="F64" s="838">
        <v>13</v>
      </c>
      <c r="G64" s="838">
        <v>25</v>
      </c>
      <c r="H64" s="838">
        <v>25</v>
      </c>
      <c r="I64" s="838">
        <v>25</v>
      </c>
      <c r="J64" s="838">
        <v>25</v>
      </c>
      <c r="K64" s="838">
        <v>25.3</v>
      </c>
      <c r="L64" s="838">
        <v>26.3</v>
      </c>
      <c r="M64" s="838">
        <v>26.3</v>
      </c>
      <c r="N64" s="838">
        <v>26.8</v>
      </c>
      <c r="O64" s="838">
        <v>26.8</v>
      </c>
      <c r="P64" s="838">
        <v>26.8</v>
      </c>
      <c r="Q64" s="838">
        <v>26.8</v>
      </c>
      <c r="R64" s="838">
        <v>30.3</v>
      </c>
      <c r="S64" s="838">
        <v>30.3</v>
      </c>
      <c r="T64" s="838">
        <v>33.799999999999997</v>
      </c>
      <c r="U64" s="838">
        <v>53.8</v>
      </c>
      <c r="V64" s="838">
        <v>54.8</v>
      </c>
      <c r="W64" s="838">
        <v>59.9</v>
      </c>
      <c r="X64" s="838">
        <v>59.9</v>
      </c>
      <c r="Y64" s="838">
        <v>59.9</v>
      </c>
      <c r="Z64" s="838">
        <v>154.89999999999998</v>
      </c>
      <c r="AA64" s="838">
        <v>308.90000000000003</v>
      </c>
      <c r="AB64" s="838">
        <v>272.2</v>
      </c>
      <c r="AC64" s="838">
        <v>252.99999999999997</v>
      </c>
      <c r="AD64" s="838">
        <v>256.7</v>
      </c>
      <c r="AE64" s="838">
        <v>270.60000000000002</v>
      </c>
      <c r="AF64" s="838">
        <v>158.00000000000003</v>
      </c>
      <c r="AG64" s="838">
        <v>162.95000000000002</v>
      </c>
      <c r="AH64" s="838">
        <v>163.6</v>
      </c>
      <c r="AI64" s="832">
        <v>164.20000000000002</v>
      </c>
      <c r="AJ64" s="832">
        <v>196.60000000000002</v>
      </c>
      <c r="AK64" s="837">
        <v>264.85000000000002</v>
      </c>
      <c r="AL64" s="836">
        <v>299.75</v>
      </c>
      <c r="AM64" s="836">
        <v>330.25</v>
      </c>
      <c r="AN64" s="836">
        <v>296.25</v>
      </c>
      <c r="AO64" s="836">
        <v>300.25</v>
      </c>
      <c r="AP64" s="836">
        <v>1824.5</v>
      </c>
      <c r="AQ64" s="836">
        <v>345.70000000000005</v>
      </c>
      <c r="AR64" s="836">
        <v>337.75</v>
      </c>
      <c r="AS64" s="836">
        <v>373.3</v>
      </c>
      <c r="AT64" s="836">
        <v>373.4</v>
      </c>
      <c r="AU64" s="836">
        <v>335.54999999999927</v>
      </c>
      <c r="AV64" s="836">
        <v>339.85000000000036</v>
      </c>
      <c r="AW64" s="836">
        <v>304</v>
      </c>
      <c r="AX64" s="836">
        <v>308.89999999999998</v>
      </c>
      <c r="AY64" s="836">
        <v>333.65</v>
      </c>
      <c r="AZ64" s="836">
        <v>330.59999999999997</v>
      </c>
      <c r="BA64" s="836">
        <v>370</v>
      </c>
      <c r="BB64" s="836">
        <v>388</v>
      </c>
      <c r="BC64" s="836">
        <v>389.25</v>
      </c>
      <c r="BD64" s="836">
        <v>399</v>
      </c>
      <c r="BE64" s="836">
        <v>444</v>
      </c>
      <c r="BF64" s="836">
        <v>425</v>
      </c>
      <c r="BG64" s="836">
        <v>445</v>
      </c>
      <c r="BH64" s="836">
        <v>516.29999999999995</v>
      </c>
      <c r="BI64" s="836">
        <v>585</v>
      </c>
      <c r="BJ64" s="836">
        <v>657</v>
      </c>
    </row>
    <row r="65" spans="1:62" ht="7.5" customHeight="1" x14ac:dyDescent="0.3">
      <c r="A65" s="834"/>
      <c r="B65" s="833"/>
      <c r="C65" s="833"/>
      <c r="D65" s="833"/>
      <c r="E65" s="833"/>
      <c r="F65" s="833"/>
      <c r="G65" s="833"/>
      <c r="H65" s="833"/>
      <c r="I65" s="833"/>
      <c r="J65" s="833"/>
      <c r="K65" s="833"/>
      <c r="L65" s="833"/>
      <c r="M65" s="833"/>
      <c r="N65" s="833"/>
      <c r="O65" s="833"/>
      <c r="P65" s="833"/>
      <c r="Q65" s="833"/>
      <c r="R65" s="833"/>
      <c r="S65" s="833"/>
      <c r="T65" s="833"/>
      <c r="U65" s="833"/>
      <c r="V65" s="833"/>
      <c r="W65" s="833"/>
      <c r="X65" s="833"/>
      <c r="Y65" s="833"/>
      <c r="Z65" s="833"/>
      <c r="AA65" s="833"/>
      <c r="AB65" s="833"/>
      <c r="AC65" s="833"/>
      <c r="AD65" s="833"/>
      <c r="AE65" s="833"/>
      <c r="AF65" s="833"/>
      <c r="AG65" s="833"/>
      <c r="AH65" s="833"/>
      <c r="AI65" s="832"/>
      <c r="AJ65" s="832"/>
      <c r="AK65" s="831"/>
      <c r="AL65" s="831"/>
      <c r="AM65" s="831"/>
      <c r="AN65" s="831"/>
      <c r="AO65" s="831"/>
      <c r="AP65" s="831"/>
      <c r="AQ65" s="831"/>
      <c r="AR65" s="831"/>
      <c r="AS65" s="831"/>
      <c r="AT65" s="831"/>
      <c r="AU65" s="831"/>
      <c r="AV65" s="831"/>
      <c r="AW65" s="831"/>
      <c r="AX65" s="831"/>
      <c r="AY65" s="831"/>
      <c r="AZ65" s="831"/>
      <c r="BA65" s="831"/>
      <c r="BB65" s="831"/>
      <c r="BC65" s="831"/>
      <c r="BD65" s="831"/>
      <c r="BE65" s="831"/>
      <c r="BF65" s="831"/>
      <c r="BG65" s="831"/>
      <c r="BH65" s="831"/>
      <c r="BI65" s="831"/>
      <c r="BJ65" s="831"/>
    </row>
    <row r="66" spans="1:62" ht="7.25" customHeight="1" thickBot="1" x14ac:dyDescent="0.35">
      <c r="A66" s="830"/>
      <c r="B66" s="829"/>
      <c r="C66" s="829"/>
      <c r="D66" s="829"/>
      <c r="E66" s="829"/>
      <c r="F66" s="829"/>
      <c r="G66" s="829"/>
      <c r="H66" s="829"/>
      <c r="I66" s="829"/>
      <c r="J66" s="829"/>
      <c r="K66" s="829"/>
      <c r="L66" s="829"/>
      <c r="M66" s="829"/>
      <c r="N66" s="829"/>
      <c r="O66" s="829"/>
      <c r="P66" s="829"/>
      <c r="Q66" s="829"/>
      <c r="R66" s="829"/>
      <c r="S66" s="829"/>
      <c r="T66" s="829"/>
      <c r="U66" s="829"/>
      <c r="V66" s="829"/>
      <c r="W66" s="829"/>
      <c r="X66" s="829"/>
      <c r="Y66" s="829"/>
      <c r="Z66" s="829"/>
      <c r="AA66" s="829"/>
      <c r="AB66" s="829"/>
      <c r="AC66" s="829"/>
      <c r="AD66" s="829"/>
      <c r="AE66" s="829"/>
      <c r="AF66" s="829"/>
      <c r="AG66" s="829"/>
      <c r="AH66" s="829"/>
      <c r="AI66" s="828"/>
      <c r="AJ66" s="828"/>
      <c r="AK66" s="828"/>
      <c r="AL66" s="828"/>
      <c r="AM66" s="828"/>
      <c r="AN66" s="828"/>
      <c r="AO66" s="828"/>
      <c r="AP66" s="828"/>
      <c r="AQ66" s="828"/>
      <c r="AR66" s="828"/>
      <c r="AS66" s="828"/>
      <c r="AT66" s="828"/>
      <c r="AU66" s="828"/>
      <c r="AV66" s="828"/>
      <c r="AW66" s="828"/>
      <c r="AX66" s="828"/>
      <c r="AY66" s="828"/>
      <c r="AZ66" s="828"/>
      <c r="BA66" s="828"/>
      <c r="BB66" s="828"/>
      <c r="BC66" s="828"/>
      <c r="BD66" s="828"/>
      <c r="BE66" s="828"/>
      <c r="BF66" s="828"/>
      <c r="BG66" s="828"/>
      <c r="BH66" s="828"/>
      <c r="BI66" s="828"/>
      <c r="BJ66" s="828"/>
    </row>
    <row r="67" spans="1:62" ht="1.25" customHeight="1" x14ac:dyDescent="0.3">
      <c r="A67" s="827"/>
      <c r="B67" s="826"/>
      <c r="C67" s="826"/>
      <c r="D67" s="826"/>
      <c r="E67" s="826"/>
      <c r="F67" s="826"/>
      <c r="G67" s="826"/>
      <c r="H67" s="826"/>
      <c r="I67" s="826"/>
      <c r="J67" s="826"/>
      <c r="K67" s="826"/>
      <c r="L67" s="826"/>
      <c r="M67" s="826"/>
      <c r="N67" s="826"/>
      <c r="O67" s="826"/>
      <c r="P67" s="826"/>
      <c r="Q67" s="826"/>
      <c r="R67" s="826"/>
      <c r="S67" s="826"/>
      <c r="T67" s="826"/>
      <c r="U67" s="826"/>
      <c r="V67" s="826"/>
      <c r="W67" s="826"/>
      <c r="X67" s="826"/>
      <c r="Y67" s="826"/>
      <c r="Z67" s="826"/>
      <c r="AA67" s="826"/>
      <c r="AB67" s="826"/>
      <c r="AC67" s="826"/>
      <c r="AD67" s="826"/>
      <c r="AE67" s="826"/>
      <c r="AF67" s="826"/>
      <c r="AG67" s="826"/>
    </row>
    <row r="68" spans="1:62" ht="16.5" customHeight="1" x14ac:dyDescent="0.3">
      <c r="A68" s="1366" t="s">
        <v>714</v>
      </c>
      <c r="B68" s="1366"/>
      <c r="C68" s="1366"/>
      <c r="D68" s="1366"/>
      <c r="E68" s="1366"/>
      <c r="F68" s="1366"/>
      <c r="G68" s="1366"/>
      <c r="H68" s="1366"/>
      <c r="I68" s="1366"/>
      <c r="J68" s="1366"/>
      <c r="K68" s="1366"/>
      <c r="L68" s="1366"/>
      <c r="M68" s="1366"/>
      <c r="N68" s="1366"/>
      <c r="O68" s="1366"/>
      <c r="P68" s="1366"/>
      <c r="Q68" s="1366"/>
      <c r="R68" s="1366"/>
      <c r="S68" s="1366"/>
      <c r="T68" s="1366"/>
      <c r="U68" s="1366"/>
      <c r="V68" s="1366"/>
      <c r="W68" s="1366"/>
      <c r="X68" s="1366"/>
      <c r="Y68" s="1366"/>
      <c r="Z68" s="1366"/>
      <c r="AA68" s="1366"/>
      <c r="AB68" s="1366"/>
      <c r="AC68" s="1366"/>
      <c r="AD68" s="1366"/>
      <c r="AE68" s="1366"/>
      <c r="AF68" s="1366"/>
      <c r="AG68" s="1366"/>
      <c r="AH68" s="1366"/>
      <c r="AI68" s="1366"/>
      <c r="AJ68" s="1366"/>
      <c r="AK68" s="1366"/>
      <c r="AL68" s="1366"/>
      <c r="AM68" s="1366"/>
      <c r="AN68" s="1366"/>
      <c r="AO68" s="1366"/>
      <c r="AP68" s="1366"/>
      <c r="AQ68" s="1366"/>
      <c r="AR68" s="1366"/>
      <c r="AS68" s="1366"/>
      <c r="AT68" s="1366"/>
      <c r="AU68" s="1366"/>
      <c r="AV68" s="1366"/>
      <c r="AW68" s="1366"/>
      <c r="AX68" s="1366"/>
      <c r="AY68" s="1366"/>
      <c r="AZ68" s="1366"/>
      <c r="BA68" s="1366"/>
      <c r="BB68" s="1366"/>
      <c r="BC68" s="1366"/>
      <c r="BD68" s="1366"/>
      <c r="BE68" s="1366"/>
      <c r="BF68" s="1366"/>
      <c r="BG68" s="1366"/>
      <c r="BH68" s="1366"/>
      <c r="BI68" s="1366"/>
      <c r="BJ68" s="1366"/>
    </row>
    <row r="69" spans="1:62" x14ac:dyDescent="0.3">
      <c r="A69" s="1367" t="s">
        <v>713</v>
      </c>
      <c r="B69" s="1367"/>
      <c r="C69" s="1367"/>
      <c r="D69" s="1367"/>
      <c r="E69" s="1367"/>
      <c r="F69" s="1367"/>
      <c r="G69" s="1367"/>
      <c r="H69" s="1367"/>
      <c r="I69" s="1367"/>
      <c r="J69" s="1367"/>
      <c r="K69" s="1367"/>
      <c r="L69" s="1367"/>
      <c r="M69" s="1367"/>
      <c r="N69" s="1367"/>
      <c r="O69" s="1367"/>
      <c r="P69" s="1367"/>
      <c r="Q69" s="1367"/>
      <c r="R69" s="1367"/>
      <c r="S69" s="1367"/>
      <c r="T69" s="1367"/>
      <c r="U69" s="1367"/>
      <c r="V69" s="1367"/>
      <c r="W69" s="1367"/>
      <c r="X69" s="1367"/>
      <c r="Y69" s="1367"/>
      <c r="Z69" s="1367"/>
      <c r="AA69" s="1367"/>
      <c r="AB69" s="1367"/>
      <c r="AC69" s="1367"/>
      <c r="AD69" s="1367"/>
      <c r="AE69" s="1367"/>
      <c r="AF69" s="1367"/>
      <c r="AG69" s="1367"/>
      <c r="AH69" s="1367"/>
      <c r="AI69" s="1367"/>
      <c r="AJ69" s="1367"/>
      <c r="AK69" s="1367"/>
      <c r="AL69" s="1367"/>
      <c r="AM69" s="1367"/>
      <c r="AN69" s="1367"/>
      <c r="AO69" s="1367"/>
      <c r="AP69" s="1367"/>
      <c r="AQ69" s="1367"/>
      <c r="AR69" s="1367"/>
      <c r="AS69" s="1367"/>
      <c r="AT69" s="1367"/>
      <c r="AU69" s="1367"/>
      <c r="AV69" s="1367"/>
      <c r="AW69" s="1367"/>
      <c r="AX69" s="1367"/>
      <c r="AY69" s="1367"/>
      <c r="AZ69" s="1367"/>
      <c r="BA69" s="1367"/>
      <c r="BB69" s="1367"/>
      <c r="BC69" s="1367"/>
      <c r="BD69" s="1367"/>
      <c r="BE69" s="1367"/>
      <c r="BF69" s="1367"/>
      <c r="BG69" s="1367"/>
      <c r="BH69" s="1367"/>
      <c r="BI69" s="1367"/>
      <c r="BJ69" s="1367"/>
    </row>
    <row r="70" spans="1:62" ht="15" customHeight="1" x14ac:dyDescent="0.3">
      <c r="A70" s="1366" t="s">
        <v>712</v>
      </c>
      <c r="B70" s="1366"/>
      <c r="C70" s="1366"/>
      <c r="D70" s="1366"/>
      <c r="E70" s="1366"/>
      <c r="F70" s="1366"/>
      <c r="G70" s="1366"/>
      <c r="H70" s="1366"/>
      <c r="I70" s="1366"/>
      <c r="J70" s="1366"/>
      <c r="K70" s="1366"/>
      <c r="L70" s="1366"/>
      <c r="M70" s="1366"/>
      <c r="N70" s="1366"/>
      <c r="O70" s="1366"/>
      <c r="P70" s="1366"/>
      <c r="Q70" s="1366"/>
      <c r="R70" s="1366"/>
      <c r="S70" s="1366"/>
      <c r="T70" s="1366"/>
      <c r="U70" s="1366"/>
      <c r="V70" s="1366"/>
      <c r="W70" s="1366"/>
      <c r="X70" s="1366"/>
      <c r="Y70" s="1366"/>
      <c r="Z70" s="1366"/>
      <c r="AA70" s="1366"/>
      <c r="AB70" s="1366"/>
      <c r="AC70" s="1366"/>
      <c r="AD70" s="1366"/>
      <c r="AE70" s="1366"/>
      <c r="AF70" s="1366"/>
      <c r="AG70" s="1366"/>
      <c r="AH70" s="1366"/>
      <c r="AI70" s="1366"/>
      <c r="AJ70" s="1366"/>
      <c r="AK70" s="1366"/>
      <c r="AL70" s="1366"/>
      <c r="AM70" s="1366"/>
      <c r="AN70" s="1366"/>
      <c r="AO70" s="1366"/>
      <c r="AP70" s="1366"/>
      <c r="AQ70" s="1366"/>
      <c r="AR70" s="1366"/>
      <c r="AS70" s="1366"/>
      <c r="AT70" s="1366"/>
      <c r="AU70" s="1366"/>
      <c r="AV70" s="1366"/>
      <c r="AW70" s="1366"/>
      <c r="AX70" s="1366"/>
      <c r="AY70" s="1366"/>
      <c r="AZ70" s="1366"/>
      <c r="BA70" s="1366"/>
      <c r="BB70" s="1366"/>
      <c r="BC70" s="1366"/>
      <c r="BD70" s="1366"/>
      <c r="BE70" s="1366"/>
      <c r="BF70" s="1366"/>
      <c r="BG70" s="1366"/>
      <c r="BH70" s="1366"/>
      <c r="BI70" s="1366"/>
      <c r="BJ70" s="1366"/>
    </row>
    <row r="71" spans="1:62" x14ac:dyDescent="0.3">
      <c r="A71" s="1366" t="s">
        <v>1009</v>
      </c>
      <c r="B71" s="1366"/>
      <c r="C71" s="1366"/>
      <c r="D71" s="1366"/>
      <c r="E71" s="1366"/>
      <c r="F71" s="1366"/>
      <c r="G71" s="1366"/>
      <c r="H71" s="1366"/>
      <c r="I71" s="1366"/>
      <c r="J71" s="1366"/>
      <c r="K71" s="1366"/>
      <c r="L71" s="1366"/>
      <c r="M71" s="1366"/>
      <c r="N71" s="1366"/>
      <c r="O71" s="1366"/>
      <c r="P71" s="1366"/>
      <c r="Q71" s="1366"/>
      <c r="R71" s="1366"/>
      <c r="S71" s="1366"/>
      <c r="T71" s="1366"/>
      <c r="U71" s="1366"/>
      <c r="V71" s="1366"/>
      <c r="W71" s="1366"/>
      <c r="X71" s="1366"/>
      <c r="Y71" s="1366"/>
      <c r="Z71" s="1366"/>
      <c r="AA71" s="1366"/>
      <c r="AB71" s="1366"/>
      <c r="AC71" s="1366"/>
      <c r="AD71" s="1366"/>
      <c r="AE71" s="1366"/>
      <c r="AF71" s="1366"/>
      <c r="AG71" s="1366"/>
      <c r="AH71" s="1366"/>
      <c r="AI71" s="1366"/>
      <c r="AJ71" s="1366"/>
      <c r="AK71" s="1366"/>
      <c r="AL71" s="1366"/>
      <c r="AM71" s="1366"/>
      <c r="AN71" s="1366"/>
      <c r="AO71" s="1366"/>
      <c r="AP71" s="1366"/>
      <c r="AQ71" s="1366"/>
      <c r="AR71" s="1366"/>
      <c r="AS71" s="1366"/>
      <c r="AT71" s="1366"/>
      <c r="AU71" s="1366"/>
      <c r="AV71" s="1366"/>
      <c r="AW71" s="1366"/>
      <c r="AX71" s="1366"/>
      <c r="AY71" s="1366"/>
      <c r="AZ71" s="1366"/>
      <c r="BA71" s="1366"/>
      <c r="BB71" s="1366"/>
      <c r="BC71" s="1366"/>
      <c r="BD71" s="1366"/>
      <c r="BE71" s="1366"/>
      <c r="BF71" s="1366"/>
      <c r="BG71" s="1366"/>
      <c r="BH71" s="1366"/>
      <c r="BI71" s="1366"/>
      <c r="BJ71" s="1366"/>
    </row>
    <row r="72" spans="1:62" x14ac:dyDescent="0.3">
      <c r="A72" s="1366"/>
      <c r="B72" s="1366"/>
      <c r="C72" s="1366"/>
      <c r="D72" s="1366"/>
      <c r="E72" s="1366"/>
      <c r="F72" s="1366"/>
      <c r="G72" s="1366"/>
      <c r="H72" s="1366"/>
      <c r="I72" s="1366"/>
      <c r="J72" s="1366"/>
      <c r="K72" s="1366"/>
      <c r="L72" s="1366"/>
      <c r="M72" s="1366"/>
      <c r="N72" s="1366"/>
      <c r="O72" s="1366"/>
      <c r="P72" s="1366"/>
      <c r="Q72" s="1366"/>
      <c r="R72" s="1366"/>
      <c r="S72" s="1366"/>
      <c r="T72" s="1366"/>
      <c r="U72" s="1366"/>
      <c r="V72" s="1366"/>
      <c r="W72" s="1366"/>
      <c r="X72" s="1366"/>
      <c r="Y72" s="1366"/>
      <c r="Z72" s="1366"/>
      <c r="AA72" s="1366"/>
      <c r="AB72" s="1366"/>
      <c r="AC72" s="1366"/>
      <c r="AD72" s="1366"/>
      <c r="AE72" s="1366"/>
      <c r="AF72" s="1366"/>
      <c r="AG72" s="1366"/>
      <c r="AH72" s="1366"/>
      <c r="AI72" s="1366"/>
      <c r="AJ72" s="1366"/>
      <c r="AK72" s="1366"/>
      <c r="AL72" s="1366"/>
      <c r="AM72" s="1366"/>
      <c r="AN72" s="1366"/>
      <c r="AO72" s="1366"/>
      <c r="AP72" s="1366"/>
      <c r="AQ72" s="1366"/>
      <c r="AR72" s="1366"/>
      <c r="AS72" s="1366"/>
      <c r="AT72" s="1366"/>
      <c r="AU72" s="1366"/>
      <c r="AV72" s="1366"/>
      <c r="AW72" s="1366"/>
      <c r="AX72" s="1366"/>
      <c r="AY72" s="1366"/>
      <c r="AZ72" s="1366"/>
      <c r="BA72" s="1366"/>
      <c r="BB72" s="1366"/>
      <c r="BC72" s="1366"/>
      <c r="BD72" s="1366"/>
      <c r="BE72" s="1366"/>
      <c r="BF72" s="1366"/>
      <c r="BG72" s="1366"/>
      <c r="BH72" s="1366"/>
      <c r="BI72" s="1366"/>
      <c r="BJ72" s="1366"/>
    </row>
    <row r="74" spans="1:62" x14ac:dyDescent="0.3">
      <c r="AD74" s="821"/>
      <c r="AE74" s="821"/>
      <c r="AF74" s="821"/>
      <c r="AG74" s="821"/>
      <c r="AH74" s="821"/>
      <c r="AI74" s="821"/>
      <c r="AJ74" s="821"/>
      <c r="AK74" s="821"/>
      <c r="AL74" s="821"/>
      <c r="AM74" s="821"/>
      <c r="AN74" s="821"/>
      <c r="AO74" s="821"/>
      <c r="AP74" s="821"/>
      <c r="AQ74" s="821"/>
      <c r="AR74" s="821"/>
      <c r="AS74" s="821"/>
      <c r="AT74" s="821"/>
      <c r="AU74" s="821"/>
      <c r="AV74" s="821"/>
      <c r="AW74" s="821"/>
      <c r="AX74" s="821"/>
      <c r="AY74" s="821"/>
      <c r="AZ74" s="821"/>
      <c r="BA74" s="821"/>
      <c r="BB74" s="821"/>
      <c r="BC74" s="821"/>
      <c r="BD74" s="821"/>
    </row>
    <row r="75" spans="1:62" x14ac:dyDescent="0.3">
      <c r="B75" s="823"/>
      <c r="C75" s="823"/>
      <c r="D75" s="823"/>
      <c r="E75" s="823"/>
      <c r="F75" s="823"/>
      <c r="G75" s="823"/>
      <c r="H75" s="823"/>
      <c r="I75" s="823"/>
      <c r="J75" s="823"/>
      <c r="K75" s="823"/>
      <c r="L75" s="823"/>
      <c r="M75" s="823"/>
      <c r="N75" s="823"/>
      <c r="O75" s="823"/>
      <c r="P75" s="823"/>
      <c r="Q75" s="823"/>
      <c r="R75" s="823"/>
      <c r="S75" s="823"/>
      <c r="T75" s="823"/>
      <c r="U75" s="823"/>
      <c r="V75" s="823"/>
      <c r="W75" s="823"/>
      <c r="X75" s="823"/>
      <c r="Y75" s="823"/>
      <c r="Z75" s="823"/>
      <c r="AA75" s="823"/>
      <c r="AB75" s="823"/>
      <c r="AC75" s="823"/>
      <c r="AD75" s="823"/>
      <c r="AE75" s="823"/>
      <c r="AF75" s="823"/>
      <c r="AG75" s="823"/>
      <c r="AH75" s="823"/>
      <c r="AI75" s="823"/>
      <c r="AJ75" s="823"/>
      <c r="AK75" s="823"/>
      <c r="AL75" s="823"/>
      <c r="AM75" s="823"/>
      <c r="AN75" s="823"/>
      <c r="AO75" s="823"/>
      <c r="AP75" s="823"/>
      <c r="AQ75" s="823"/>
      <c r="AR75" s="823"/>
      <c r="AS75" s="823"/>
      <c r="AT75" s="823"/>
      <c r="AU75" s="823"/>
      <c r="AV75" s="823"/>
      <c r="AW75" s="823"/>
      <c r="AX75" s="823"/>
      <c r="AY75" s="823"/>
      <c r="AZ75" s="823"/>
      <c r="BA75" s="823"/>
      <c r="BB75" s="823"/>
      <c r="BC75" s="823"/>
      <c r="BD75" s="823"/>
    </row>
    <row r="76" spans="1:62" x14ac:dyDescent="0.3">
      <c r="B76" s="823"/>
      <c r="C76" s="823"/>
      <c r="D76" s="823"/>
      <c r="E76" s="823"/>
      <c r="F76" s="823"/>
      <c r="G76" s="823"/>
      <c r="H76" s="823"/>
      <c r="I76" s="823"/>
      <c r="J76" s="823"/>
      <c r="K76" s="823"/>
      <c r="L76" s="823"/>
      <c r="M76" s="823"/>
      <c r="N76" s="823"/>
      <c r="O76" s="823"/>
      <c r="P76" s="823"/>
      <c r="Q76" s="823"/>
      <c r="R76" s="823"/>
      <c r="S76" s="823"/>
      <c r="T76" s="823"/>
      <c r="U76" s="823"/>
      <c r="V76" s="823"/>
      <c r="W76" s="823"/>
      <c r="X76" s="823"/>
      <c r="Y76" s="823"/>
      <c r="Z76" s="823"/>
      <c r="AA76" s="823"/>
      <c r="AB76" s="823"/>
      <c r="AC76" s="823"/>
      <c r="AD76" s="825"/>
      <c r="AE76" s="825"/>
      <c r="AF76" s="825"/>
      <c r="AG76" s="825"/>
      <c r="AH76" s="825"/>
      <c r="AI76" s="825"/>
      <c r="AJ76" s="825"/>
      <c r="AK76" s="825"/>
      <c r="AL76" s="825"/>
      <c r="AM76" s="825"/>
      <c r="AN76" s="825"/>
      <c r="AO76" s="825"/>
      <c r="AP76" s="825"/>
      <c r="AQ76" s="825"/>
      <c r="AR76" s="825"/>
      <c r="AS76" s="825"/>
      <c r="AT76" s="825"/>
      <c r="AU76" s="825"/>
      <c r="AV76" s="825"/>
      <c r="AW76" s="825"/>
      <c r="AX76" s="825"/>
      <c r="AY76" s="825"/>
      <c r="AZ76" s="825"/>
      <c r="BA76" s="825"/>
      <c r="BB76" s="825"/>
      <c r="BC76" s="825"/>
      <c r="BD76" s="825"/>
    </row>
    <row r="77" spans="1:62" x14ac:dyDescent="0.3">
      <c r="B77" s="824"/>
      <c r="C77" s="824"/>
      <c r="D77" s="824"/>
      <c r="E77" s="824"/>
      <c r="F77" s="824"/>
      <c r="G77" s="824"/>
      <c r="H77" s="824"/>
      <c r="I77" s="824"/>
      <c r="J77" s="824"/>
      <c r="K77" s="824"/>
      <c r="L77" s="824"/>
      <c r="M77" s="824"/>
      <c r="N77" s="824"/>
      <c r="O77" s="824"/>
      <c r="P77" s="824"/>
      <c r="Q77" s="824"/>
      <c r="R77" s="824"/>
      <c r="S77" s="824"/>
      <c r="T77" s="824"/>
      <c r="U77" s="824"/>
      <c r="V77" s="824"/>
      <c r="W77" s="824"/>
      <c r="X77" s="824"/>
      <c r="Y77" s="824"/>
      <c r="Z77" s="824"/>
      <c r="AA77" s="824"/>
      <c r="AB77" s="824"/>
      <c r="AC77" s="824"/>
      <c r="AD77" s="824"/>
      <c r="AE77" s="824"/>
      <c r="AF77" s="824"/>
      <c r="AG77" s="824"/>
      <c r="AH77" s="824"/>
      <c r="AI77" s="824"/>
      <c r="AJ77" s="824"/>
      <c r="AK77" s="824"/>
      <c r="AL77" s="824"/>
      <c r="AM77" s="824"/>
      <c r="AN77" s="824"/>
      <c r="AO77" s="824"/>
      <c r="AP77" s="824"/>
      <c r="AQ77" s="824"/>
      <c r="AR77" s="824"/>
      <c r="AS77" s="824"/>
      <c r="AT77" s="824"/>
      <c r="AU77" s="824"/>
      <c r="AV77" s="824"/>
      <c r="AW77" s="824"/>
      <c r="AX77" s="824"/>
      <c r="AY77" s="824"/>
      <c r="AZ77" s="824"/>
      <c r="BA77" s="824"/>
      <c r="BB77" s="824"/>
      <c r="BC77" s="824"/>
      <c r="BD77" s="824"/>
    </row>
    <row r="78" spans="1:62" x14ac:dyDescent="0.3">
      <c r="B78" s="823"/>
      <c r="C78" s="823"/>
      <c r="D78" s="823"/>
      <c r="E78" s="823"/>
      <c r="F78" s="823"/>
      <c r="G78" s="823"/>
      <c r="H78" s="823"/>
      <c r="I78" s="823"/>
      <c r="J78" s="823"/>
      <c r="K78" s="823"/>
      <c r="L78" s="823"/>
      <c r="M78" s="823"/>
      <c r="N78" s="823"/>
      <c r="O78" s="823"/>
      <c r="P78" s="823"/>
      <c r="Q78" s="823"/>
      <c r="R78" s="823"/>
      <c r="S78" s="823"/>
      <c r="T78" s="823"/>
      <c r="U78" s="823"/>
      <c r="V78" s="823"/>
      <c r="W78" s="823"/>
      <c r="X78" s="823"/>
      <c r="Y78" s="823"/>
      <c r="Z78" s="823"/>
      <c r="AA78" s="823"/>
      <c r="AB78" s="823"/>
      <c r="AC78" s="823"/>
      <c r="AD78" s="823"/>
      <c r="AE78" s="823"/>
      <c r="AF78" s="823"/>
      <c r="AG78" s="823"/>
      <c r="AH78" s="823"/>
      <c r="AI78" s="823"/>
      <c r="AJ78" s="823"/>
      <c r="AK78" s="823"/>
      <c r="AL78" s="823"/>
      <c r="AM78" s="823"/>
      <c r="AN78" s="823"/>
      <c r="AO78" s="823"/>
      <c r="AP78" s="823"/>
      <c r="AQ78" s="823"/>
      <c r="AR78" s="823"/>
      <c r="AS78" s="823"/>
      <c r="AT78" s="823"/>
      <c r="AU78" s="823"/>
      <c r="AV78" s="823"/>
      <c r="AW78" s="823"/>
      <c r="AX78" s="823"/>
      <c r="AY78" s="823"/>
      <c r="AZ78" s="823"/>
      <c r="BA78" s="823"/>
      <c r="BB78" s="823"/>
      <c r="BC78" s="823"/>
      <c r="BD78" s="823"/>
    </row>
    <row r="80" spans="1:62" x14ac:dyDescent="0.3">
      <c r="B80" s="823"/>
      <c r="C80" s="823"/>
      <c r="D80" s="823"/>
      <c r="E80" s="823"/>
      <c r="F80" s="823"/>
      <c r="G80" s="823"/>
      <c r="H80" s="823"/>
      <c r="I80" s="823"/>
      <c r="J80" s="823"/>
      <c r="K80" s="823"/>
      <c r="L80" s="823"/>
      <c r="M80" s="823"/>
      <c r="N80" s="823"/>
      <c r="O80" s="823"/>
      <c r="P80" s="823"/>
      <c r="Q80" s="823"/>
      <c r="R80" s="823"/>
      <c r="S80" s="823"/>
      <c r="T80" s="823"/>
      <c r="U80" s="823"/>
      <c r="V80" s="823"/>
      <c r="W80" s="823"/>
      <c r="X80" s="823"/>
      <c r="Y80" s="823"/>
      <c r="Z80" s="823"/>
      <c r="AA80" s="823"/>
      <c r="AB80" s="823"/>
      <c r="AC80" s="823"/>
      <c r="AD80" s="823"/>
      <c r="AE80" s="823"/>
      <c r="AF80" s="823"/>
      <c r="AG80" s="823"/>
      <c r="AH80" s="823"/>
      <c r="AI80" s="823"/>
      <c r="AJ80" s="823"/>
      <c r="AK80" s="823"/>
      <c r="AL80" s="823"/>
      <c r="AM80" s="823"/>
      <c r="AN80" s="823"/>
      <c r="AO80" s="823"/>
      <c r="AP80" s="823"/>
      <c r="AQ80" s="823"/>
      <c r="AR80" s="823"/>
      <c r="AS80" s="823"/>
      <c r="AT80" s="823"/>
      <c r="AU80" s="823"/>
      <c r="AV80" s="823"/>
      <c r="AW80" s="823"/>
      <c r="AX80" s="823"/>
      <c r="AY80" s="823"/>
      <c r="AZ80" s="823"/>
      <c r="BA80" s="823"/>
      <c r="BB80" s="823"/>
      <c r="BC80" s="823"/>
      <c r="BD80" s="823"/>
    </row>
    <row r="82" spans="2:28" x14ac:dyDescent="0.3">
      <c r="B82" s="823"/>
      <c r="C82" s="823"/>
      <c r="D82" s="823"/>
      <c r="E82" s="823"/>
      <c r="F82" s="823"/>
      <c r="G82" s="823"/>
      <c r="H82" s="823"/>
      <c r="I82" s="823"/>
      <c r="J82" s="823"/>
      <c r="K82" s="823"/>
      <c r="L82" s="823"/>
      <c r="M82" s="823"/>
      <c r="N82" s="823"/>
      <c r="O82" s="823"/>
      <c r="P82" s="823"/>
      <c r="Q82" s="823"/>
      <c r="R82" s="823"/>
      <c r="S82" s="823"/>
    </row>
    <row r="86" spans="2:28" x14ac:dyDescent="0.3">
      <c r="B86" s="823"/>
      <c r="C86" s="823"/>
      <c r="D86" s="823"/>
      <c r="E86" s="823"/>
      <c r="F86" s="823"/>
      <c r="G86" s="823"/>
      <c r="H86" s="823"/>
      <c r="I86" s="823"/>
      <c r="J86" s="823"/>
      <c r="K86" s="823"/>
      <c r="L86" s="823"/>
      <c r="M86" s="823"/>
      <c r="N86" s="823"/>
      <c r="O86" s="823"/>
      <c r="P86" s="823"/>
      <c r="Q86" s="823"/>
      <c r="R86" s="823"/>
      <c r="S86" s="823"/>
      <c r="T86" s="823"/>
      <c r="U86" s="823"/>
      <c r="V86" s="823"/>
      <c r="W86" s="823"/>
      <c r="X86" s="823"/>
      <c r="Y86" s="823"/>
      <c r="Z86" s="823"/>
      <c r="AA86" s="823"/>
      <c r="AB86" s="823"/>
    </row>
    <row r="90" spans="2:28" x14ac:dyDescent="0.3">
      <c r="E90" s="823"/>
    </row>
  </sheetData>
  <mergeCells count="6">
    <mergeCell ref="A1:BJ1"/>
    <mergeCell ref="A68:BJ68"/>
    <mergeCell ref="A69:BJ69"/>
    <mergeCell ref="A70:BJ70"/>
    <mergeCell ref="A72:BJ72"/>
    <mergeCell ref="A71:BJ71"/>
  </mergeCells>
  <pageMargins left="0.47244094488188981" right="0.32" top="0.23622047244094491" bottom="0.15748031496062992" header="0.19685039370078741"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47"/>
  <sheetViews>
    <sheetView showGridLines="0" zoomScale="110" zoomScaleNormal="110" workbookViewId="0">
      <pane xSplit="1" ySplit="6" topLeftCell="B7" activePane="bottomRight" state="frozen"/>
      <selection activeCell="V17" sqref="V17"/>
      <selection pane="topRight" activeCell="V17" sqref="V17"/>
      <selection pane="bottomLeft" activeCell="V17" sqref="V17"/>
      <selection pane="bottomRight" activeCell="BQ40" sqref="BQ40"/>
    </sheetView>
  </sheetViews>
  <sheetFormatPr defaultColWidth="8.6328125" defaultRowHeight="14" x14ac:dyDescent="0.35"/>
  <cols>
    <col min="1" max="1" width="39.453125" style="61" customWidth="1"/>
    <col min="2" max="2" width="10.6328125" style="61" hidden="1" customWidth="1"/>
    <col min="3" max="3" width="11.08984375" style="61" hidden="1" customWidth="1"/>
    <col min="4" max="4" width="10.08984375" style="61" hidden="1" customWidth="1"/>
    <col min="5" max="5" width="10.90625" style="61" hidden="1" customWidth="1"/>
    <col min="6" max="6" width="10.08984375" style="61" hidden="1" customWidth="1"/>
    <col min="7" max="7" width="10.90625" style="61" hidden="1" customWidth="1"/>
    <col min="8" max="8" width="10.08984375" style="61" hidden="1" customWidth="1"/>
    <col min="9" max="9" width="10.90625" style="61" hidden="1" customWidth="1"/>
    <col min="10" max="10" width="10.08984375" style="61" hidden="1" customWidth="1"/>
    <col min="11" max="11" width="10.90625" style="61" hidden="1" customWidth="1"/>
    <col min="12" max="12" width="10" style="61" hidden="1" customWidth="1"/>
    <col min="13" max="13" width="10.90625" style="61" hidden="1" customWidth="1"/>
    <col min="14" max="14" width="9.90625" style="61" hidden="1" customWidth="1"/>
    <col min="15" max="15" width="10.453125" style="61" hidden="1" customWidth="1"/>
    <col min="16" max="16" width="10" style="61" hidden="1" customWidth="1"/>
    <col min="17" max="17" width="10.90625" style="61" hidden="1" customWidth="1"/>
    <col min="18" max="18" width="10.36328125" style="61" hidden="1" customWidth="1"/>
    <col min="19" max="19" width="10.453125" style="61" hidden="1" customWidth="1"/>
    <col min="20" max="20" width="10.36328125" style="61" hidden="1" customWidth="1"/>
    <col min="21" max="21" width="10.453125" style="61" hidden="1" customWidth="1"/>
    <col min="22" max="22" width="10.36328125" style="61" hidden="1" customWidth="1"/>
    <col min="23" max="23" width="10.453125" style="61" hidden="1" customWidth="1"/>
    <col min="24" max="24" width="10.36328125" style="61" hidden="1" customWidth="1"/>
    <col min="25" max="25" width="10.453125" style="61" hidden="1" customWidth="1"/>
    <col min="26" max="26" width="10.08984375" style="61" hidden="1" customWidth="1"/>
    <col min="27" max="27" width="10.6328125" style="61" hidden="1" customWidth="1"/>
    <col min="28" max="28" width="10.36328125" style="61" hidden="1" customWidth="1"/>
    <col min="29" max="29" width="10.453125" style="61" hidden="1" customWidth="1"/>
    <col min="30" max="57" width="10.90625" style="61" hidden="1" customWidth="1"/>
    <col min="58" max="58" width="9.36328125" style="61" hidden="1" customWidth="1"/>
    <col min="59" max="59" width="9.90625" style="61" hidden="1" customWidth="1"/>
    <col min="60" max="60" width="10.453125" style="61" hidden="1" customWidth="1"/>
    <col min="61" max="61" width="10.90625" style="61" hidden="1" customWidth="1"/>
    <col min="62" max="62" width="11.36328125" style="61" hidden="1" customWidth="1"/>
    <col min="63" max="63" width="11" style="61" hidden="1" customWidth="1"/>
    <col min="64" max="65" width="11.08984375" style="61" hidden="1" customWidth="1"/>
    <col min="66" max="66" width="10.453125" style="976" hidden="1" customWidth="1"/>
    <col min="67" max="67" width="11.08984375" style="976" hidden="1" customWidth="1"/>
    <col min="68" max="68" width="10.453125" style="976" customWidth="1"/>
    <col min="69" max="69" width="11.08984375" style="1117" customWidth="1"/>
    <col min="70" max="70" width="10.453125" style="1117" customWidth="1"/>
    <col min="71" max="71" width="10.26953125" style="1117" customWidth="1"/>
    <col min="72" max="72" width="10.453125" style="1117" customWidth="1"/>
    <col min="73" max="73" width="11.26953125" style="1117" customWidth="1"/>
    <col min="74" max="16384" width="8.6328125" style="61"/>
  </cols>
  <sheetData>
    <row r="1" spans="1:73" ht="12.75" customHeight="1" x14ac:dyDescent="0.35"/>
    <row r="2" spans="1:73" ht="14.5" customHeight="1" x14ac:dyDescent="0.35">
      <c r="A2" s="1217" t="s">
        <v>145</v>
      </c>
      <c r="B2" s="1217"/>
      <c r="C2" s="1217"/>
      <c r="D2" s="1217"/>
      <c r="E2" s="1217"/>
      <c r="F2" s="1217"/>
      <c r="G2" s="1217"/>
      <c r="H2" s="1217"/>
      <c r="I2" s="1217"/>
      <c r="J2" s="1217"/>
      <c r="K2" s="1217"/>
      <c r="L2" s="1217"/>
      <c r="M2" s="1217"/>
      <c r="N2" s="1217"/>
      <c r="O2" s="1217"/>
      <c r="P2" s="1217"/>
      <c r="Q2" s="1217"/>
      <c r="R2" s="1217"/>
      <c r="S2" s="1217"/>
      <c r="T2" s="1217"/>
      <c r="U2" s="1217"/>
      <c r="V2" s="1217"/>
      <c r="W2" s="1217"/>
      <c r="X2" s="1217"/>
      <c r="Y2" s="1217"/>
      <c r="Z2" s="1217"/>
      <c r="AA2" s="1217"/>
      <c r="AB2" s="1217"/>
      <c r="AC2" s="1217"/>
      <c r="AD2" s="1217"/>
      <c r="AE2" s="1217"/>
      <c r="AF2" s="1217"/>
      <c r="AG2" s="1217"/>
      <c r="AH2" s="1217"/>
      <c r="AI2" s="1217"/>
      <c r="AJ2" s="1217"/>
      <c r="AK2" s="1217"/>
      <c r="AL2" s="1217"/>
      <c r="AM2" s="1217"/>
      <c r="AN2" s="1217"/>
      <c r="AO2" s="1217"/>
      <c r="AP2" s="1217"/>
      <c r="AQ2" s="1217"/>
      <c r="AR2" s="1217"/>
      <c r="AS2" s="1217"/>
      <c r="AT2" s="1217"/>
      <c r="AU2" s="1217"/>
      <c r="AV2" s="1217"/>
      <c r="AW2" s="1217"/>
      <c r="AX2" s="1217"/>
      <c r="AY2" s="1217"/>
      <c r="AZ2" s="1217"/>
      <c r="BA2" s="1217"/>
      <c r="BB2" s="1217"/>
      <c r="BC2" s="1217"/>
      <c r="BD2" s="1217"/>
      <c r="BE2" s="1217"/>
      <c r="BF2" s="1217"/>
      <c r="BG2" s="1217"/>
      <c r="BH2" s="1217"/>
      <c r="BI2" s="1217"/>
      <c r="BJ2" s="1217"/>
      <c r="BK2" s="1217"/>
      <c r="BL2" s="1217"/>
      <c r="BM2" s="1217"/>
      <c r="BN2" s="1217"/>
      <c r="BO2" s="1217"/>
      <c r="BP2" s="1217"/>
      <c r="BQ2" s="1217"/>
      <c r="BR2" s="1217"/>
      <c r="BS2" s="1217"/>
      <c r="BT2" s="1217"/>
      <c r="BU2" s="1217"/>
    </row>
    <row r="3" spans="1:73" ht="14.5" customHeight="1" x14ac:dyDescent="0.35">
      <c r="U3" s="68"/>
      <c r="W3" s="68"/>
      <c r="Y3" s="68"/>
      <c r="AA3" s="68"/>
      <c r="AE3" s="68"/>
      <c r="AG3" s="68"/>
      <c r="AI3" s="68"/>
      <c r="AK3" s="68"/>
      <c r="AM3" s="68"/>
      <c r="AO3" s="68"/>
      <c r="AQ3" s="68"/>
      <c r="AS3" s="68"/>
      <c r="AW3" s="68"/>
      <c r="AY3" s="68"/>
      <c r="BA3" s="68"/>
      <c r="BC3" s="68"/>
      <c r="BE3" s="68"/>
      <c r="BG3" s="68"/>
      <c r="BI3" s="68"/>
      <c r="BK3" s="68"/>
      <c r="BM3" s="68"/>
      <c r="BO3" s="68"/>
      <c r="BQ3" s="949"/>
      <c r="BS3" s="949"/>
      <c r="BU3" s="949" t="s">
        <v>144</v>
      </c>
    </row>
    <row r="4" spans="1:73" x14ac:dyDescent="0.35">
      <c r="A4" s="1226"/>
      <c r="B4" s="1229">
        <v>42887</v>
      </c>
      <c r="C4" s="1229"/>
      <c r="D4" s="1229">
        <v>42979</v>
      </c>
      <c r="E4" s="1229"/>
      <c r="F4" s="1229">
        <v>43070</v>
      </c>
      <c r="G4" s="1229"/>
      <c r="H4" s="1229">
        <v>43160</v>
      </c>
      <c r="I4" s="1229"/>
      <c r="J4" s="1229">
        <v>43252</v>
      </c>
      <c r="K4" s="1229"/>
      <c r="L4" s="1229">
        <v>43344</v>
      </c>
      <c r="M4" s="1229"/>
      <c r="N4" s="1229">
        <v>43435</v>
      </c>
      <c r="O4" s="1229"/>
      <c r="P4" s="1229">
        <v>43525</v>
      </c>
      <c r="Q4" s="1229"/>
      <c r="R4" s="1229">
        <v>43617</v>
      </c>
      <c r="S4" s="1229"/>
      <c r="T4" s="1229">
        <v>43709</v>
      </c>
      <c r="U4" s="1229"/>
      <c r="V4" s="1229">
        <v>43800</v>
      </c>
      <c r="W4" s="1229"/>
      <c r="X4" s="1229">
        <v>43891</v>
      </c>
      <c r="Y4" s="1229"/>
      <c r="Z4" s="1229">
        <v>43983</v>
      </c>
      <c r="AA4" s="1229"/>
      <c r="AB4" s="1229">
        <v>44075</v>
      </c>
      <c r="AC4" s="1229"/>
      <c r="AD4" s="1219">
        <v>44166</v>
      </c>
      <c r="AE4" s="1220"/>
      <c r="AF4" s="1219">
        <v>44256</v>
      </c>
      <c r="AG4" s="1220"/>
      <c r="AH4" s="1219">
        <v>44348</v>
      </c>
      <c r="AI4" s="1220"/>
      <c r="AJ4" s="1219">
        <v>44440</v>
      </c>
      <c r="AK4" s="1220"/>
      <c r="AL4" s="1219">
        <v>44531</v>
      </c>
      <c r="AM4" s="1220"/>
      <c r="AN4" s="1219">
        <v>44621</v>
      </c>
      <c r="AO4" s="1220"/>
      <c r="AP4" s="1219">
        <v>44713</v>
      </c>
      <c r="AQ4" s="1220"/>
      <c r="AR4" s="1219">
        <v>44805</v>
      </c>
      <c r="AS4" s="1220"/>
      <c r="AT4" s="1219">
        <v>44896</v>
      </c>
      <c r="AU4" s="1220"/>
      <c r="AV4" s="1219">
        <v>44986</v>
      </c>
      <c r="AW4" s="1220"/>
      <c r="AX4" s="1219">
        <v>45078</v>
      </c>
      <c r="AY4" s="1220"/>
      <c r="AZ4" s="1219">
        <v>45170</v>
      </c>
      <c r="BA4" s="1220"/>
      <c r="BB4" s="1219">
        <v>45261</v>
      </c>
      <c r="BC4" s="1220"/>
      <c r="BD4" s="1219">
        <v>45352</v>
      </c>
      <c r="BE4" s="1220"/>
      <c r="BF4" s="1219">
        <v>45444</v>
      </c>
      <c r="BG4" s="1220"/>
      <c r="BH4" s="1219">
        <v>45536</v>
      </c>
      <c r="BI4" s="1220"/>
      <c r="BJ4" s="1219">
        <v>45627</v>
      </c>
      <c r="BK4" s="1220"/>
      <c r="BL4" s="1219">
        <v>45717</v>
      </c>
      <c r="BM4" s="1220"/>
      <c r="BN4" s="1219">
        <v>45809</v>
      </c>
      <c r="BO4" s="1220"/>
      <c r="BP4" s="1219">
        <v>45901</v>
      </c>
      <c r="BQ4" s="1220"/>
      <c r="BR4" s="1219">
        <v>45992</v>
      </c>
      <c r="BS4" s="1220"/>
      <c r="BT4" s="1219">
        <v>46082</v>
      </c>
      <c r="BU4" s="1220"/>
    </row>
    <row r="5" spans="1:73" ht="14.5" customHeight="1" x14ac:dyDescent="0.35">
      <c r="A5" s="1227"/>
      <c r="B5" s="1223" t="s">
        <v>54</v>
      </c>
      <c r="C5" s="1223"/>
      <c r="D5" s="1223" t="s">
        <v>54</v>
      </c>
      <c r="E5" s="1223"/>
      <c r="F5" s="1223" t="s">
        <v>54</v>
      </c>
      <c r="G5" s="1223"/>
      <c r="H5" s="1223" t="s">
        <v>54</v>
      </c>
      <c r="I5" s="1223"/>
      <c r="J5" s="1223" t="s">
        <v>54</v>
      </c>
      <c r="K5" s="1223"/>
      <c r="L5" s="1223" t="s">
        <v>54</v>
      </c>
      <c r="M5" s="1223"/>
      <c r="N5" s="1223" t="s">
        <v>54</v>
      </c>
      <c r="O5" s="1223"/>
      <c r="P5" s="1223" t="s">
        <v>54</v>
      </c>
      <c r="Q5" s="1223"/>
      <c r="R5" s="1223" t="s">
        <v>54</v>
      </c>
      <c r="S5" s="1223"/>
      <c r="T5" s="1223" t="s">
        <v>54</v>
      </c>
      <c r="U5" s="1223"/>
      <c r="V5" s="1223" t="s">
        <v>54</v>
      </c>
      <c r="W5" s="1223"/>
      <c r="X5" s="1223" t="s">
        <v>54</v>
      </c>
      <c r="Y5" s="1223"/>
      <c r="Z5" s="1223" t="s">
        <v>54</v>
      </c>
      <c r="AA5" s="1223"/>
      <c r="AB5" s="1223" t="s">
        <v>54</v>
      </c>
      <c r="AC5" s="1223"/>
      <c r="AD5" s="1223" t="s">
        <v>54</v>
      </c>
      <c r="AE5" s="1223"/>
      <c r="AF5" s="1223" t="s">
        <v>54</v>
      </c>
      <c r="AG5" s="1223"/>
      <c r="AH5" s="1223" t="s">
        <v>54</v>
      </c>
      <c r="AI5" s="1223"/>
      <c r="AJ5" s="1223" t="s">
        <v>54</v>
      </c>
      <c r="AK5" s="1223"/>
      <c r="AL5" s="1223" t="s">
        <v>54</v>
      </c>
      <c r="AM5" s="1223"/>
      <c r="AN5" s="1223" t="s">
        <v>54</v>
      </c>
      <c r="AO5" s="1223"/>
      <c r="AP5" s="1223" t="s">
        <v>54</v>
      </c>
      <c r="AQ5" s="1223"/>
      <c r="AR5" s="1223" t="s">
        <v>54</v>
      </c>
      <c r="AS5" s="1223"/>
      <c r="AT5" s="1223" t="s">
        <v>54</v>
      </c>
      <c r="AU5" s="1223"/>
      <c r="AV5" s="1223" t="s">
        <v>54</v>
      </c>
      <c r="AW5" s="1223"/>
      <c r="AX5" s="1223" t="s">
        <v>54</v>
      </c>
      <c r="AY5" s="1223"/>
      <c r="AZ5" s="1223" t="s">
        <v>54</v>
      </c>
      <c r="BA5" s="1223"/>
      <c r="BB5" s="1223" t="s">
        <v>54</v>
      </c>
      <c r="BC5" s="1223"/>
      <c r="BD5" s="1223" t="s">
        <v>54</v>
      </c>
      <c r="BE5" s="1223"/>
      <c r="BF5" s="1223" t="s">
        <v>54</v>
      </c>
      <c r="BG5" s="1223"/>
      <c r="BH5" s="1223" t="s">
        <v>54</v>
      </c>
      <c r="BI5" s="1223"/>
      <c r="BJ5" s="1223" t="s">
        <v>54</v>
      </c>
      <c r="BK5" s="1223"/>
      <c r="BL5" s="1224" t="s">
        <v>54</v>
      </c>
      <c r="BM5" s="1225"/>
      <c r="BN5" s="1221" t="s">
        <v>54</v>
      </c>
      <c r="BO5" s="1222"/>
      <c r="BP5" s="1221" t="s">
        <v>54</v>
      </c>
      <c r="BQ5" s="1222"/>
      <c r="BR5" s="1221" t="s">
        <v>54</v>
      </c>
      <c r="BS5" s="1222"/>
      <c r="BT5" s="1221" t="s">
        <v>53</v>
      </c>
      <c r="BU5" s="1222"/>
    </row>
    <row r="6" spans="1:73" ht="32.15" customHeight="1" x14ac:dyDescent="0.35">
      <c r="A6" s="1228"/>
      <c r="B6" s="67" t="s">
        <v>143</v>
      </c>
      <c r="C6" s="66" t="s">
        <v>142</v>
      </c>
      <c r="D6" s="67" t="s">
        <v>143</v>
      </c>
      <c r="E6" s="66" t="s">
        <v>142</v>
      </c>
      <c r="F6" s="67" t="s">
        <v>143</v>
      </c>
      <c r="G6" s="66" t="s">
        <v>142</v>
      </c>
      <c r="H6" s="67" t="s">
        <v>143</v>
      </c>
      <c r="I6" s="66" t="s">
        <v>142</v>
      </c>
      <c r="J6" s="67" t="s">
        <v>143</v>
      </c>
      <c r="K6" s="66" t="s">
        <v>142</v>
      </c>
      <c r="L6" s="67" t="s">
        <v>143</v>
      </c>
      <c r="M6" s="66" t="s">
        <v>142</v>
      </c>
      <c r="N6" s="67" t="s">
        <v>143</v>
      </c>
      <c r="O6" s="66" t="s">
        <v>142</v>
      </c>
      <c r="P6" s="67" t="s">
        <v>143</v>
      </c>
      <c r="Q6" s="66" t="s">
        <v>142</v>
      </c>
      <c r="R6" s="67" t="s">
        <v>143</v>
      </c>
      <c r="S6" s="66" t="s">
        <v>142</v>
      </c>
      <c r="T6" s="67" t="s">
        <v>143</v>
      </c>
      <c r="U6" s="66" t="s">
        <v>142</v>
      </c>
      <c r="V6" s="67" t="s">
        <v>143</v>
      </c>
      <c r="W6" s="66" t="s">
        <v>142</v>
      </c>
      <c r="X6" s="67" t="s">
        <v>143</v>
      </c>
      <c r="Y6" s="66" t="s">
        <v>142</v>
      </c>
      <c r="Z6" s="67" t="s">
        <v>143</v>
      </c>
      <c r="AA6" s="66" t="s">
        <v>142</v>
      </c>
      <c r="AB6" s="67" t="s">
        <v>143</v>
      </c>
      <c r="AC6" s="66" t="s">
        <v>142</v>
      </c>
      <c r="AD6" s="67" t="s">
        <v>143</v>
      </c>
      <c r="AE6" s="66" t="s">
        <v>142</v>
      </c>
      <c r="AF6" s="67" t="s">
        <v>143</v>
      </c>
      <c r="AG6" s="66" t="s">
        <v>142</v>
      </c>
      <c r="AH6" s="67" t="s">
        <v>143</v>
      </c>
      <c r="AI6" s="66" t="s">
        <v>142</v>
      </c>
      <c r="AJ6" s="67" t="s">
        <v>143</v>
      </c>
      <c r="AK6" s="66" t="s">
        <v>142</v>
      </c>
      <c r="AL6" s="67" t="s">
        <v>143</v>
      </c>
      <c r="AM6" s="66" t="s">
        <v>142</v>
      </c>
      <c r="AN6" s="67" t="s">
        <v>143</v>
      </c>
      <c r="AO6" s="66" t="s">
        <v>142</v>
      </c>
      <c r="AP6" s="67" t="s">
        <v>143</v>
      </c>
      <c r="AQ6" s="66" t="s">
        <v>142</v>
      </c>
      <c r="AR6" s="67" t="s">
        <v>143</v>
      </c>
      <c r="AS6" s="66" t="s">
        <v>142</v>
      </c>
      <c r="AT6" s="67" t="s">
        <v>143</v>
      </c>
      <c r="AU6" s="66" t="s">
        <v>142</v>
      </c>
      <c r="AV6" s="67" t="s">
        <v>143</v>
      </c>
      <c r="AW6" s="66" t="s">
        <v>142</v>
      </c>
      <c r="AX6" s="67" t="s">
        <v>143</v>
      </c>
      <c r="AY6" s="66" t="s">
        <v>142</v>
      </c>
      <c r="AZ6" s="67" t="s">
        <v>143</v>
      </c>
      <c r="BA6" s="66" t="s">
        <v>142</v>
      </c>
      <c r="BB6" s="67" t="s">
        <v>143</v>
      </c>
      <c r="BC6" s="66" t="s">
        <v>142</v>
      </c>
      <c r="BD6" s="67" t="s">
        <v>143</v>
      </c>
      <c r="BE6" s="66" t="s">
        <v>142</v>
      </c>
      <c r="BF6" s="67" t="s">
        <v>143</v>
      </c>
      <c r="BG6" s="66" t="s">
        <v>142</v>
      </c>
      <c r="BH6" s="67" t="s">
        <v>143</v>
      </c>
      <c r="BI6" s="66" t="s">
        <v>142</v>
      </c>
      <c r="BJ6" s="67" t="s">
        <v>143</v>
      </c>
      <c r="BK6" s="66" t="s">
        <v>142</v>
      </c>
      <c r="BL6" s="67" t="s">
        <v>143</v>
      </c>
      <c r="BM6" s="66" t="s">
        <v>142</v>
      </c>
      <c r="BN6" s="67" t="s">
        <v>143</v>
      </c>
      <c r="BO6" s="66" t="s">
        <v>142</v>
      </c>
      <c r="BP6" s="67" t="s">
        <v>143</v>
      </c>
      <c r="BQ6" s="66" t="s">
        <v>142</v>
      </c>
      <c r="BR6" s="67" t="s">
        <v>143</v>
      </c>
      <c r="BS6" s="66" t="s">
        <v>142</v>
      </c>
      <c r="BT6" s="67" t="s">
        <v>143</v>
      </c>
      <c r="BU6" s="66" t="s">
        <v>142</v>
      </c>
    </row>
    <row r="7" spans="1:73" ht="18.899999999999999" customHeight="1" x14ac:dyDescent="0.35">
      <c r="A7" s="947" t="s">
        <v>796</v>
      </c>
      <c r="B7" s="948"/>
      <c r="C7" s="948"/>
      <c r="D7" s="948"/>
      <c r="E7" s="948"/>
      <c r="F7" s="948"/>
      <c r="G7" s="948"/>
      <c r="H7" s="948"/>
      <c r="I7" s="948"/>
      <c r="J7" s="948"/>
      <c r="K7" s="948"/>
      <c r="L7" s="948"/>
      <c r="M7" s="948"/>
      <c r="N7" s="948"/>
      <c r="O7" s="948"/>
      <c r="P7" s="948"/>
      <c r="Q7" s="948"/>
      <c r="R7" s="948"/>
      <c r="S7" s="948"/>
      <c r="T7" s="948"/>
      <c r="U7" s="948"/>
      <c r="V7" s="948"/>
      <c r="W7" s="948"/>
      <c r="X7" s="948"/>
      <c r="Y7" s="948"/>
      <c r="Z7" s="948"/>
      <c r="AA7" s="948"/>
      <c r="AB7" s="948"/>
      <c r="AC7" s="948"/>
      <c r="AD7" s="948"/>
      <c r="AE7" s="948"/>
      <c r="AF7" s="948"/>
      <c r="AG7" s="948"/>
      <c r="AH7" s="948"/>
      <c r="AI7" s="948"/>
      <c r="AJ7" s="948"/>
      <c r="AK7" s="948"/>
      <c r="AL7" s="948"/>
      <c r="AM7" s="948"/>
      <c r="AN7" s="948"/>
      <c r="AO7" s="948"/>
      <c r="AP7" s="948"/>
      <c r="AQ7" s="948"/>
      <c r="AR7" s="948"/>
      <c r="AS7" s="948"/>
      <c r="AT7" s="948"/>
      <c r="AU7" s="948"/>
      <c r="AV7" s="948"/>
      <c r="AW7" s="948"/>
      <c r="AX7" s="948"/>
      <c r="AY7" s="948"/>
      <c r="AZ7" s="948"/>
      <c r="BA7" s="948"/>
      <c r="BB7" s="948"/>
      <c r="BC7" s="948"/>
      <c r="BD7" s="948"/>
      <c r="BE7" s="948"/>
      <c r="BF7" s="948"/>
      <c r="BG7" s="948"/>
      <c r="BH7" s="948"/>
      <c r="BI7" s="948"/>
      <c r="BJ7" s="948"/>
      <c r="BK7" s="948"/>
      <c r="BL7" s="948"/>
      <c r="BM7" s="948"/>
      <c r="BN7" s="948"/>
      <c r="BO7" s="948"/>
      <c r="BP7" s="948"/>
      <c r="BQ7" s="948"/>
      <c r="BR7" s="948"/>
      <c r="BS7" s="948"/>
      <c r="BT7" s="948"/>
      <c r="BU7" s="948"/>
    </row>
    <row r="8" spans="1:73" ht="20" customHeight="1" x14ac:dyDescent="0.35">
      <c r="A8" s="944" t="s">
        <v>133</v>
      </c>
      <c r="B8" s="943">
        <v>0</v>
      </c>
      <c r="C8" s="943">
        <v>0</v>
      </c>
      <c r="D8" s="943">
        <v>0</v>
      </c>
      <c r="E8" s="943">
        <v>0</v>
      </c>
      <c r="F8" s="943">
        <v>0</v>
      </c>
      <c r="G8" s="943">
        <v>0</v>
      </c>
      <c r="H8" s="943">
        <v>0</v>
      </c>
      <c r="I8" s="943">
        <v>0</v>
      </c>
      <c r="J8" s="943">
        <v>0</v>
      </c>
      <c r="K8" s="943">
        <v>0</v>
      </c>
      <c r="L8" s="943">
        <v>0</v>
      </c>
      <c r="M8" s="943">
        <v>0</v>
      </c>
      <c r="N8" s="943">
        <v>0</v>
      </c>
      <c r="O8" s="943">
        <v>0</v>
      </c>
      <c r="P8" s="943">
        <v>0</v>
      </c>
      <c r="Q8" s="943">
        <v>0</v>
      </c>
      <c r="R8" s="943">
        <v>0</v>
      </c>
      <c r="S8" s="943">
        <v>0</v>
      </c>
      <c r="T8" s="943">
        <v>0</v>
      </c>
      <c r="U8" s="943">
        <v>0</v>
      </c>
      <c r="V8" s="943">
        <v>0</v>
      </c>
      <c r="W8" s="943">
        <v>0</v>
      </c>
      <c r="X8" s="943">
        <v>0</v>
      </c>
      <c r="Y8" s="943">
        <v>0</v>
      </c>
      <c r="Z8" s="941">
        <v>0</v>
      </c>
      <c r="AA8" s="942">
        <v>129</v>
      </c>
      <c r="AB8" s="941">
        <v>0</v>
      </c>
      <c r="AC8" s="942">
        <v>539</v>
      </c>
      <c r="AD8" s="941">
        <v>0</v>
      </c>
      <c r="AE8" s="942">
        <v>1195</v>
      </c>
      <c r="AF8" s="941">
        <v>0</v>
      </c>
      <c r="AG8" s="942">
        <v>1441.82</v>
      </c>
      <c r="AH8" s="941">
        <v>0</v>
      </c>
      <c r="AI8" s="942">
        <v>2016</v>
      </c>
      <c r="AJ8" s="941">
        <v>0</v>
      </c>
      <c r="AK8" s="942">
        <v>2316.1</v>
      </c>
      <c r="AL8" s="941">
        <v>0</v>
      </c>
      <c r="AM8" s="942">
        <v>3216.1</v>
      </c>
      <c r="AN8" s="941">
        <v>0</v>
      </c>
      <c r="AO8" s="942">
        <v>3516.1</v>
      </c>
      <c r="AP8" s="941">
        <v>0</v>
      </c>
      <c r="AQ8" s="942">
        <v>3816.09</v>
      </c>
      <c r="AR8" s="941">
        <v>0</v>
      </c>
      <c r="AS8" s="942">
        <v>3755</v>
      </c>
      <c r="AT8" s="941">
        <v>0</v>
      </c>
      <c r="AU8" s="942">
        <v>4111.24</v>
      </c>
      <c r="AV8" s="941">
        <v>0</v>
      </c>
      <c r="AW8" s="942">
        <v>4030.28</v>
      </c>
      <c r="AX8" s="941">
        <v>0</v>
      </c>
      <c r="AY8" s="942">
        <v>4301.3</v>
      </c>
      <c r="AZ8" s="941">
        <v>0</v>
      </c>
      <c r="BA8" s="942">
        <v>4135</v>
      </c>
      <c r="BB8" s="941">
        <v>0</v>
      </c>
      <c r="BC8" s="942">
        <v>4298.7700000000004</v>
      </c>
      <c r="BD8" s="941">
        <v>0</v>
      </c>
      <c r="BE8" s="942">
        <v>4205.5</v>
      </c>
      <c r="BF8" s="941">
        <v>0</v>
      </c>
      <c r="BG8" s="942">
        <v>4963.66</v>
      </c>
      <c r="BH8" s="941">
        <v>0</v>
      </c>
      <c r="BI8" s="942">
        <v>4870</v>
      </c>
      <c r="BJ8" s="941">
        <v>0</v>
      </c>
      <c r="BK8" s="942">
        <v>5228.25</v>
      </c>
      <c r="BL8" s="941">
        <v>0</v>
      </c>
      <c r="BM8" s="942">
        <v>5134.53</v>
      </c>
      <c r="BN8" s="941">
        <v>0</v>
      </c>
      <c r="BO8" s="942">
        <v>5092.42</v>
      </c>
      <c r="BP8" s="941">
        <v>0</v>
      </c>
      <c r="BQ8" s="942">
        <v>4967.3999999999996</v>
      </c>
      <c r="BR8" s="941">
        <v>0</v>
      </c>
      <c r="BS8" s="942">
        <v>4878.59</v>
      </c>
      <c r="BT8" s="941">
        <v>0</v>
      </c>
      <c r="BU8" s="942">
        <v>4773.53</v>
      </c>
    </row>
    <row r="9" spans="1:73" ht="20" customHeight="1" x14ac:dyDescent="0.35">
      <c r="A9" s="944" t="s">
        <v>131</v>
      </c>
      <c r="B9" s="943">
        <v>0</v>
      </c>
      <c r="C9" s="943">
        <v>0</v>
      </c>
      <c r="D9" s="943">
        <v>0</v>
      </c>
      <c r="E9" s="943">
        <v>0</v>
      </c>
      <c r="F9" s="943">
        <v>0</v>
      </c>
      <c r="G9" s="943">
        <v>0</v>
      </c>
      <c r="H9" s="943">
        <v>0</v>
      </c>
      <c r="I9" s="943">
        <v>0</v>
      </c>
      <c r="J9" s="943">
        <v>0</v>
      </c>
      <c r="K9" s="943">
        <v>0</v>
      </c>
      <c r="L9" s="943">
        <v>0</v>
      </c>
      <c r="M9" s="943">
        <v>0</v>
      </c>
      <c r="N9" s="943">
        <v>0</v>
      </c>
      <c r="O9" s="943">
        <v>0</v>
      </c>
      <c r="P9" s="943">
        <v>0</v>
      </c>
      <c r="Q9" s="943">
        <v>0</v>
      </c>
      <c r="R9" s="943">
        <v>0</v>
      </c>
      <c r="S9" s="943">
        <v>0</v>
      </c>
      <c r="T9" s="943">
        <v>0</v>
      </c>
      <c r="U9" s="943">
        <v>0</v>
      </c>
      <c r="V9" s="943">
        <v>0</v>
      </c>
      <c r="W9" s="943">
        <v>0</v>
      </c>
      <c r="X9" s="943">
        <v>0</v>
      </c>
      <c r="Y9" s="943">
        <v>0</v>
      </c>
      <c r="Z9" s="943">
        <v>0</v>
      </c>
      <c r="AA9" s="942"/>
      <c r="AB9" s="941"/>
      <c r="AC9" s="942"/>
      <c r="AD9" s="941"/>
      <c r="AE9" s="942"/>
      <c r="AF9" s="941"/>
      <c r="AG9" s="942"/>
      <c r="AH9" s="941"/>
      <c r="AI9" s="942"/>
      <c r="AJ9" s="941"/>
      <c r="AK9" s="942"/>
      <c r="AL9" s="941"/>
      <c r="AM9" s="942"/>
      <c r="AN9" s="941"/>
      <c r="AO9" s="942"/>
      <c r="AP9" s="941"/>
      <c r="AQ9" s="942"/>
      <c r="AR9" s="941"/>
      <c r="AS9" s="942">
        <v>500</v>
      </c>
      <c r="AT9" s="941"/>
      <c r="AU9" s="942">
        <v>500</v>
      </c>
      <c r="AV9" s="941"/>
      <c r="AW9" s="942">
        <v>500</v>
      </c>
      <c r="AX9" s="941"/>
      <c r="AY9" s="942">
        <v>475.59</v>
      </c>
      <c r="AZ9" s="941"/>
      <c r="BA9" s="942">
        <v>976</v>
      </c>
      <c r="BB9" s="941"/>
      <c r="BC9" s="942">
        <v>1126.7</v>
      </c>
      <c r="BD9" s="941"/>
      <c r="BE9" s="942">
        <v>1326.65</v>
      </c>
      <c r="BF9" s="941"/>
      <c r="BG9" s="942">
        <v>1657.02</v>
      </c>
      <c r="BH9" s="941"/>
      <c r="BI9" s="942">
        <v>1757</v>
      </c>
      <c r="BJ9" s="941">
        <v>0</v>
      </c>
      <c r="BK9" s="942">
        <v>1864.11</v>
      </c>
      <c r="BL9" s="941">
        <v>0</v>
      </c>
      <c r="BM9" s="942">
        <v>1863.52</v>
      </c>
      <c r="BN9" s="941">
        <v>0</v>
      </c>
      <c r="BO9" s="942">
        <v>1760.42</v>
      </c>
      <c r="BP9" s="941">
        <v>0</v>
      </c>
      <c r="BQ9" s="942">
        <v>1760.42</v>
      </c>
      <c r="BR9" s="941">
        <v>0</v>
      </c>
      <c r="BS9" s="942">
        <v>1657.11</v>
      </c>
      <c r="BT9" s="941">
        <v>0</v>
      </c>
      <c r="BU9" s="942">
        <v>1657.11</v>
      </c>
    </row>
    <row r="10" spans="1:73" ht="20" customHeight="1" x14ac:dyDescent="0.35">
      <c r="A10" s="944" t="s">
        <v>127</v>
      </c>
      <c r="B10" s="943">
        <v>3000</v>
      </c>
      <c r="C10" s="946"/>
      <c r="D10" s="942">
        <v>3046</v>
      </c>
      <c r="E10" s="945"/>
      <c r="F10" s="942">
        <v>3023</v>
      </c>
      <c r="G10" s="941">
        <v>0</v>
      </c>
      <c r="H10" s="942">
        <v>3046</v>
      </c>
      <c r="I10" s="941">
        <v>0</v>
      </c>
      <c r="J10" s="942">
        <v>3069</v>
      </c>
      <c r="K10" s="941">
        <v>0</v>
      </c>
      <c r="L10" s="942">
        <v>3091</v>
      </c>
      <c r="M10" s="941">
        <v>0</v>
      </c>
      <c r="N10" s="942">
        <v>6102</v>
      </c>
      <c r="O10" s="941">
        <v>0</v>
      </c>
      <c r="P10" s="942">
        <v>6131</v>
      </c>
      <c r="Q10" s="941">
        <v>0</v>
      </c>
      <c r="R10" s="942">
        <v>6160</v>
      </c>
      <c r="S10" s="941">
        <v>0</v>
      </c>
      <c r="T10" s="942">
        <v>6110</v>
      </c>
      <c r="U10" s="941">
        <v>0</v>
      </c>
      <c r="V10" s="942">
        <v>3100</v>
      </c>
      <c r="W10" s="941">
        <v>0</v>
      </c>
      <c r="X10" s="942">
        <v>3100</v>
      </c>
      <c r="Y10" s="941">
        <v>0</v>
      </c>
      <c r="Z10" s="942">
        <v>3100</v>
      </c>
      <c r="AA10" s="941">
        <v>0</v>
      </c>
      <c r="AB10" s="942">
        <v>3100</v>
      </c>
      <c r="AC10" s="941">
        <v>0</v>
      </c>
      <c r="AD10" s="942">
        <v>3100</v>
      </c>
      <c r="AE10" s="941">
        <v>0</v>
      </c>
      <c r="AF10" s="942">
        <v>3100</v>
      </c>
      <c r="AG10" s="941">
        <v>0</v>
      </c>
      <c r="AH10" s="942">
        <v>3100</v>
      </c>
      <c r="AI10" s="941">
        <v>0</v>
      </c>
      <c r="AJ10" s="942">
        <v>3100</v>
      </c>
      <c r="AK10" s="941">
        <v>0</v>
      </c>
      <c r="AL10" s="942">
        <v>3100</v>
      </c>
      <c r="AM10" s="941">
        <v>0</v>
      </c>
      <c r="AN10" s="942">
        <v>3100</v>
      </c>
      <c r="AO10" s="941">
        <v>0</v>
      </c>
      <c r="AP10" s="942">
        <v>3100</v>
      </c>
      <c r="AQ10" s="941">
        <v>0</v>
      </c>
      <c r="AR10" s="942">
        <v>3100</v>
      </c>
      <c r="AS10" s="941">
        <v>0</v>
      </c>
      <c r="AT10" s="942">
        <v>3100</v>
      </c>
      <c r="AU10" s="941">
        <v>0</v>
      </c>
      <c r="AV10" s="942">
        <v>3100</v>
      </c>
      <c r="AW10" s="941">
        <v>0</v>
      </c>
      <c r="AX10" s="942">
        <v>3100</v>
      </c>
      <c r="AY10" s="941">
        <v>0</v>
      </c>
      <c r="AZ10" s="942">
        <v>3100</v>
      </c>
      <c r="BA10" s="941">
        <v>0</v>
      </c>
      <c r="BB10" s="942">
        <v>3100</v>
      </c>
      <c r="BC10" s="941">
        <v>0</v>
      </c>
      <c r="BD10" s="942">
        <v>3100</v>
      </c>
      <c r="BE10" s="941">
        <v>0</v>
      </c>
      <c r="BF10" s="942">
        <v>3100</v>
      </c>
      <c r="BG10" s="941">
        <v>0</v>
      </c>
      <c r="BH10" s="942">
        <v>3100</v>
      </c>
      <c r="BI10" s="941">
        <v>0</v>
      </c>
      <c r="BJ10" s="942">
        <v>3100</v>
      </c>
      <c r="BK10" s="941">
        <v>0</v>
      </c>
      <c r="BL10" s="942">
        <v>3100</v>
      </c>
      <c r="BM10" s="941">
        <v>0</v>
      </c>
      <c r="BN10" s="942">
        <v>3100</v>
      </c>
      <c r="BO10" s="941">
        <v>0</v>
      </c>
      <c r="BP10" s="942">
        <v>3100</v>
      </c>
      <c r="BQ10" s="941">
        <v>0</v>
      </c>
      <c r="BR10" s="942">
        <v>2583.33</v>
      </c>
      <c r="BS10" s="941">
        <v>0</v>
      </c>
      <c r="BT10" s="942">
        <v>2583.33</v>
      </c>
      <c r="BU10" s="941">
        <v>0</v>
      </c>
    </row>
    <row r="11" spans="1:73" ht="20" customHeight="1" x14ac:dyDescent="0.35">
      <c r="A11" s="944" t="s">
        <v>126</v>
      </c>
      <c r="B11" s="943">
        <v>0</v>
      </c>
      <c r="C11" s="943">
        <v>0</v>
      </c>
      <c r="D11" s="943">
        <v>0</v>
      </c>
      <c r="E11" s="943">
        <v>0</v>
      </c>
      <c r="F11" s="943">
        <v>0</v>
      </c>
      <c r="G11" s="943">
        <v>0</v>
      </c>
      <c r="H11" s="943">
        <v>0</v>
      </c>
      <c r="I11" s="943">
        <v>0</v>
      </c>
      <c r="J11" s="943">
        <v>0</v>
      </c>
      <c r="K11" s="943">
        <v>0</v>
      </c>
      <c r="L11" s="943">
        <v>0</v>
      </c>
      <c r="M11" s="943">
        <v>0</v>
      </c>
      <c r="N11" s="943">
        <v>0</v>
      </c>
      <c r="O11" s="943">
        <v>0</v>
      </c>
      <c r="P11" s="943">
        <v>0</v>
      </c>
      <c r="Q11" s="943">
        <v>0</v>
      </c>
      <c r="R11" s="943">
        <v>0</v>
      </c>
      <c r="S11" s="943">
        <v>0</v>
      </c>
      <c r="T11" s="943">
        <v>0</v>
      </c>
      <c r="U11" s="943">
        <v>0</v>
      </c>
      <c r="V11" s="943">
        <v>0</v>
      </c>
      <c r="W11" s="943">
        <v>0</v>
      </c>
      <c r="X11" s="943">
        <v>0</v>
      </c>
      <c r="Y11" s="943">
        <v>0</v>
      </c>
      <c r="Z11" s="943">
        <v>0</v>
      </c>
      <c r="AA11" s="942">
        <v>191</v>
      </c>
      <c r="AB11" s="941">
        <v>0</v>
      </c>
      <c r="AC11" s="942">
        <v>186</v>
      </c>
      <c r="AD11" s="941">
        <v>0</v>
      </c>
      <c r="AE11" s="942">
        <v>181</v>
      </c>
      <c r="AF11" s="941">
        <v>0</v>
      </c>
      <c r="AG11" s="942">
        <v>176.05</v>
      </c>
      <c r="AH11" s="941">
        <v>0</v>
      </c>
      <c r="AI11" s="942">
        <v>171.07</v>
      </c>
      <c r="AJ11" s="941">
        <v>0</v>
      </c>
      <c r="AK11" s="942">
        <v>166</v>
      </c>
      <c r="AL11" s="941">
        <v>0</v>
      </c>
      <c r="AM11" s="942">
        <v>160.9</v>
      </c>
      <c r="AN11" s="941">
        <v>0</v>
      </c>
      <c r="AO11" s="942">
        <v>158.56</v>
      </c>
      <c r="AP11" s="941">
        <v>0</v>
      </c>
      <c r="AQ11" s="942">
        <v>156.26</v>
      </c>
      <c r="AR11" s="941">
        <v>0</v>
      </c>
      <c r="AS11" s="942">
        <v>154</v>
      </c>
      <c r="AT11" s="941">
        <v>0</v>
      </c>
      <c r="AU11" s="942">
        <v>151.80000000000001</v>
      </c>
      <c r="AV11" s="941">
        <v>0</v>
      </c>
      <c r="AW11" s="942">
        <v>149.69999999999999</v>
      </c>
      <c r="AX11" s="941">
        <v>0</v>
      </c>
      <c r="AY11" s="942">
        <v>147.6</v>
      </c>
      <c r="AZ11" s="941">
        <v>0</v>
      </c>
      <c r="BA11" s="942">
        <v>147</v>
      </c>
      <c r="BB11" s="941">
        <v>0</v>
      </c>
      <c r="BC11" s="942">
        <v>145</v>
      </c>
      <c r="BD11" s="941">
        <v>0</v>
      </c>
      <c r="BE11" s="942">
        <v>142.77000000000001</v>
      </c>
      <c r="BF11" s="941">
        <v>0</v>
      </c>
      <c r="BG11" s="942">
        <v>140.54</v>
      </c>
      <c r="BH11" s="941">
        <v>0</v>
      </c>
      <c r="BI11" s="942">
        <v>137</v>
      </c>
      <c r="BJ11" s="941">
        <v>0</v>
      </c>
      <c r="BK11" s="942">
        <v>134.18</v>
      </c>
      <c r="BL11" s="941">
        <v>0</v>
      </c>
      <c r="BM11" s="942">
        <v>131.69999999999999</v>
      </c>
      <c r="BN11" s="941">
        <v>0</v>
      </c>
      <c r="BO11" s="942">
        <v>129.29</v>
      </c>
      <c r="BP11" s="941">
        <v>0</v>
      </c>
      <c r="BQ11" s="942">
        <v>126.84</v>
      </c>
      <c r="BR11" s="941">
        <v>0</v>
      </c>
      <c r="BS11" s="942">
        <v>124.31</v>
      </c>
      <c r="BT11" s="941">
        <v>0</v>
      </c>
      <c r="BU11" s="942">
        <v>121.71</v>
      </c>
    </row>
    <row r="12" spans="1:73" ht="20" customHeight="1" x14ac:dyDescent="0.35">
      <c r="A12" s="944" t="s">
        <v>125</v>
      </c>
      <c r="B12" s="943">
        <v>0</v>
      </c>
      <c r="C12" s="943">
        <v>0</v>
      </c>
      <c r="D12" s="943">
        <v>0</v>
      </c>
      <c r="E12" s="943">
        <v>0</v>
      </c>
      <c r="F12" s="943">
        <v>0</v>
      </c>
      <c r="G12" s="943">
        <v>0</v>
      </c>
      <c r="H12" s="943">
        <v>0</v>
      </c>
      <c r="I12" s="943">
        <v>0</v>
      </c>
      <c r="J12" s="943">
        <v>0</v>
      </c>
      <c r="K12" s="943">
        <v>0</v>
      </c>
      <c r="L12" s="943">
        <v>0</v>
      </c>
      <c r="M12" s="943">
        <v>0</v>
      </c>
      <c r="N12" s="943">
        <v>0</v>
      </c>
      <c r="O12" s="943">
        <v>0</v>
      </c>
      <c r="P12" s="943">
        <v>0</v>
      </c>
      <c r="Q12" s="943">
        <v>0</v>
      </c>
      <c r="R12" s="943">
        <v>0</v>
      </c>
      <c r="S12" s="943">
        <v>0</v>
      </c>
      <c r="T12" s="943">
        <v>0</v>
      </c>
      <c r="U12" s="943">
        <v>0</v>
      </c>
      <c r="V12" s="943">
        <v>0</v>
      </c>
      <c r="W12" s="943">
        <v>0</v>
      </c>
      <c r="X12" s="943">
        <v>0</v>
      </c>
      <c r="Y12" s="943">
        <v>0</v>
      </c>
      <c r="Z12" s="943">
        <v>0</v>
      </c>
      <c r="AA12" s="942"/>
      <c r="AB12" s="941"/>
      <c r="AC12" s="942"/>
      <c r="AD12" s="941"/>
      <c r="AE12" s="942"/>
      <c r="AF12" s="941"/>
      <c r="AG12" s="942"/>
      <c r="AH12" s="941"/>
      <c r="AI12" s="942"/>
      <c r="AJ12" s="941"/>
      <c r="AK12" s="942"/>
      <c r="AL12" s="941"/>
      <c r="AM12" s="942"/>
      <c r="AN12" s="941"/>
      <c r="AO12" s="942"/>
      <c r="AP12" s="941"/>
      <c r="AQ12" s="942"/>
      <c r="AR12" s="941"/>
      <c r="AS12" s="942"/>
      <c r="AT12" s="941"/>
      <c r="AU12" s="942"/>
      <c r="AV12" s="941"/>
      <c r="AW12" s="942"/>
      <c r="AX12" s="941"/>
      <c r="AY12" s="942"/>
      <c r="AZ12" s="941"/>
      <c r="BA12" s="942"/>
      <c r="BB12" s="941"/>
      <c r="BC12" s="942"/>
      <c r="BD12" s="941"/>
      <c r="BE12" s="942"/>
      <c r="BF12" s="941"/>
      <c r="BG12" s="942"/>
      <c r="BH12" s="941">
        <v>0</v>
      </c>
      <c r="BI12" s="941">
        <v>0</v>
      </c>
      <c r="BJ12" s="941">
        <v>0</v>
      </c>
      <c r="BK12" s="941">
        <v>0</v>
      </c>
      <c r="BL12" s="941">
        <v>0</v>
      </c>
      <c r="BM12" s="941">
        <v>0</v>
      </c>
      <c r="BN12" s="941">
        <v>0</v>
      </c>
      <c r="BO12" s="942">
        <v>53.26</v>
      </c>
      <c r="BP12" s="941">
        <v>0</v>
      </c>
      <c r="BQ12" s="942">
        <v>93</v>
      </c>
      <c r="BR12" s="941">
        <v>0</v>
      </c>
      <c r="BS12" s="942">
        <v>112.95</v>
      </c>
      <c r="BT12" s="941">
        <v>0</v>
      </c>
      <c r="BU12" s="942">
        <v>131.28</v>
      </c>
    </row>
    <row r="13" spans="1:73" ht="20" customHeight="1" x14ac:dyDescent="0.35">
      <c r="A13" s="944" t="s">
        <v>123</v>
      </c>
      <c r="B13" s="943">
        <v>350</v>
      </c>
      <c r="C13" s="946">
        <v>93</v>
      </c>
      <c r="D13" s="942">
        <v>349</v>
      </c>
      <c r="E13" s="945">
        <v>93</v>
      </c>
      <c r="F13" s="942">
        <v>318</v>
      </c>
      <c r="G13" s="942">
        <v>87</v>
      </c>
      <c r="H13" s="942">
        <v>317</v>
      </c>
      <c r="I13" s="942">
        <v>87</v>
      </c>
      <c r="J13" s="942">
        <v>275</v>
      </c>
      <c r="K13" s="942">
        <v>79.999999779999996</v>
      </c>
      <c r="L13" s="942">
        <v>274</v>
      </c>
      <c r="M13" s="942">
        <v>80</v>
      </c>
      <c r="N13" s="942">
        <v>243</v>
      </c>
      <c r="O13" s="942">
        <v>473</v>
      </c>
      <c r="P13" s="942">
        <v>242</v>
      </c>
      <c r="Q13" s="942">
        <v>573</v>
      </c>
      <c r="R13" s="942">
        <v>200</v>
      </c>
      <c r="S13" s="942">
        <v>544</v>
      </c>
      <c r="T13" s="942">
        <v>199</v>
      </c>
      <c r="U13" s="942">
        <v>522</v>
      </c>
      <c r="V13" s="942">
        <v>168</v>
      </c>
      <c r="W13" s="942">
        <v>492</v>
      </c>
      <c r="X13" s="942">
        <v>167</v>
      </c>
      <c r="Y13" s="942">
        <v>469</v>
      </c>
      <c r="Z13" s="942">
        <v>125</v>
      </c>
      <c r="AA13" s="942">
        <v>438</v>
      </c>
      <c r="AB13" s="942">
        <v>124</v>
      </c>
      <c r="AC13" s="942">
        <v>414</v>
      </c>
      <c r="AD13" s="942">
        <v>93</v>
      </c>
      <c r="AE13" s="942">
        <v>383</v>
      </c>
      <c r="AF13" s="942">
        <v>91.66</v>
      </c>
      <c r="AG13" s="942">
        <v>358.02</v>
      </c>
      <c r="AH13" s="942">
        <v>63.75</v>
      </c>
      <c r="AI13" s="942">
        <v>326.41000000000003</v>
      </c>
      <c r="AJ13" s="942">
        <v>62.5</v>
      </c>
      <c r="AK13" s="942">
        <v>301.3</v>
      </c>
      <c r="AL13" s="942">
        <v>13.3</v>
      </c>
      <c r="AM13" s="942">
        <v>269.3</v>
      </c>
      <c r="AN13" s="942">
        <v>13.3</v>
      </c>
      <c r="AO13" s="942">
        <v>243.82</v>
      </c>
      <c r="AP13" s="941">
        <v>0</v>
      </c>
      <c r="AQ13" s="942">
        <v>211.5</v>
      </c>
      <c r="AR13" s="942">
        <v>0</v>
      </c>
      <c r="AS13" s="942">
        <v>186</v>
      </c>
      <c r="AT13" s="942">
        <v>0</v>
      </c>
      <c r="AU13" s="942">
        <v>502.98</v>
      </c>
      <c r="AV13" s="942">
        <v>0</v>
      </c>
      <c r="AW13" s="942">
        <v>477</v>
      </c>
      <c r="AX13" s="941">
        <v>0</v>
      </c>
      <c r="AY13" s="942">
        <v>444.16</v>
      </c>
      <c r="AZ13" s="941">
        <v>0</v>
      </c>
      <c r="BA13" s="942">
        <v>401</v>
      </c>
      <c r="BB13" s="941">
        <v>0</v>
      </c>
      <c r="BC13" s="942">
        <v>501.7</v>
      </c>
      <c r="BD13" s="941">
        <v>0</v>
      </c>
      <c r="BE13" s="942">
        <v>451.8</v>
      </c>
      <c r="BF13" s="941">
        <v>0</v>
      </c>
      <c r="BG13" s="942">
        <v>422.13</v>
      </c>
      <c r="BH13" s="941">
        <v>0</v>
      </c>
      <c r="BI13" s="942">
        <v>399</v>
      </c>
      <c r="BJ13" s="941">
        <v>0</v>
      </c>
      <c r="BK13" s="942">
        <v>375.46</v>
      </c>
      <c r="BL13" s="941">
        <v>0</v>
      </c>
      <c r="BM13" s="942">
        <v>351.22</v>
      </c>
      <c r="BN13" s="941">
        <v>0</v>
      </c>
      <c r="BO13" s="942">
        <v>326.87</v>
      </c>
      <c r="BP13" s="941">
        <v>0</v>
      </c>
      <c r="BQ13" s="942">
        <v>302.3</v>
      </c>
      <c r="BR13" s="941">
        <v>0</v>
      </c>
      <c r="BS13" s="942">
        <v>277.39</v>
      </c>
      <c r="BT13" s="941">
        <v>0</v>
      </c>
      <c r="BU13" s="942">
        <v>252.19</v>
      </c>
    </row>
    <row r="14" spans="1:73" ht="20" customHeight="1" x14ac:dyDescent="0.35">
      <c r="A14" s="944" t="s">
        <v>121</v>
      </c>
      <c r="B14" s="943">
        <v>0</v>
      </c>
      <c r="C14" s="946">
        <v>430</v>
      </c>
      <c r="D14" s="941">
        <v>0</v>
      </c>
      <c r="E14" s="945">
        <v>381</v>
      </c>
      <c r="F14" s="941">
        <v>0</v>
      </c>
      <c r="G14" s="942">
        <v>306</v>
      </c>
      <c r="H14" s="941">
        <v>0</v>
      </c>
      <c r="I14" s="942">
        <v>242</v>
      </c>
      <c r="J14" s="941">
        <v>0</v>
      </c>
      <c r="K14" s="942">
        <v>180</v>
      </c>
      <c r="L14" s="941">
        <v>0</v>
      </c>
      <c r="M14" s="942">
        <v>126</v>
      </c>
      <c r="N14" s="941">
        <v>0</v>
      </c>
      <c r="O14" s="942">
        <v>67</v>
      </c>
      <c r="P14" s="941">
        <v>0</v>
      </c>
      <c r="Q14" s="942">
        <v>35</v>
      </c>
      <c r="R14" s="941">
        <v>0</v>
      </c>
      <c r="S14" s="942">
        <v>2</v>
      </c>
      <c r="T14" s="941">
        <v>0</v>
      </c>
      <c r="U14" s="941">
        <v>0</v>
      </c>
      <c r="V14" s="941">
        <v>0</v>
      </c>
      <c r="W14" s="941">
        <v>0</v>
      </c>
      <c r="X14" s="941">
        <v>0</v>
      </c>
      <c r="Y14" s="941">
        <v>0</v>
      </c>
      <c r="Z14" s="941">
        <v>0</v>
      </c>
      <c r="AA14" s="941">
        <v>0</v>
      </c>
      <c r="AB14" s="941">
        <v>0</v>
      </c>
      <c r="AC14" s="941">
        <v>0</v>
      </c>
      <c r="AD14" s="941">
        <v>0</v>
      </c>
      <c r="AE14" s="941">
        <v>0</v>
      </c>
      <c r="AF14" s="941">
        <v>0</v>
      </c>
      <c r="AG14" s="941">
        <v>0</v>
      </c>
      <c r="AH14" s="941">
        <v>0</v>
      </c>
      <c r="AI14" s="941">
        <v>0</v>
      </c>
      <c r="AJ14" s="941">
        <v>0</v>
      </c>
      <c r="AK14" s="941">
        <v>0</v>
      </c>
      <c r="AL14" s="941">
        <v>0</v>
      </c>
      <c r="AM14" s="941">
        <v>0</v>
      </c>
      <c r="AN14" s="941">
        <v>0</v>
      </c>
      <c r="AO14" s="941">
        <v>0</v>
      </c>
      <c r="AP14" s="941">
        <v>0</v>
      </c>
      <c r="AQ14" s="941">
        <v>0</v>
      </c>
      <c r="AR14" s="941">
        <v>0</v>
      </c>
      <c r="AS14" s="941">
        <v>0</v>
      </c>
      <c r="AT14" s="941">
        <v>0</v>
      </c>
      <c r="AU14" s="941">
        <v>0</v>
      </c>
      <c r="AV14" s="941">
        <v>0</v>
      </c>
      <c r="AW14" s="941">
        <v>0</v>
      </c>
      <c r="AX14" s="941">
        <v>0</v>
      </c>
      <c r="AY14" s="941">
        <v>0</v>
      </c>
      <c r="AZ14" s="941">
        <v>0</v>
      </c>
      <c r="BA14" s="941">
        <v>0</v>
      </c>
      <c r="BB14" s="941">
        <v>0</v>
      </c>
      <c r="BC14" s="941">
        <v>0</v>
      </c>
      <c r="BD14" s="941">
        <v>0</v>
      </c>
      <c r="BE14" s="941">
        <v>0</v>
      </c>
      <c r="BF14" s="941">
        <v>0</v>
      </c>
      <c r="BG14" s="942">
        <v>3955.26</v>
      </c>
      <c r="BH14" s="941">
        <v>0</v>
      </c>
      <c r="BI14" s="942">
        <v>4710</v>
      </c>
      <c r="BJ14" s="941">
        <v>0</v>
      </c>
      <c r="BK14" s="942">
        <v>5373.55</v>
      </c>
      <c r="BL14" s="941">
        <v>0</v>
      </c>
      <c r="BM14" s="942">
        <v>5566.45</v>
      </c>
      <c r="BN14" s="941">
        <v>0</v>
      </c>
      <c r="BO14" s="942">
        <v>6446.22</v>
      </c>
      <c r="BP14" s="941">
        <v>0</v>
      </c>
      <c r="BQ14" s="942">
        <v>6048.32</v>
      </c>
      <c r="BR14" s="941">
        <v>0</v>
      </c>
      <c r="BS14" s="942">
        <v>6093.23</v>
      </c>
      <c r="BT14" s="941">
        <v>0</v>
      </c>
      <c r="BU14" s="942">
        <v>6649.04</v>
      </c>
    </row>
    <row r="15" spans="1:73" ht="20" customHeight="1" x14ac:dyDescent="0.35">
      <c r="A15" s="944" t="s">
        <v>119</v>
      </c>
      <c r="B15" s="943">
        <v>3700</v>
      </c>
      <c r="C15" s="946"/>
      <c r="D15" s="942">
        <v>10100</v>
      </c>
      <c r="E15" s="941">
        <v>0</v>
      </c>
      <c r="F15" s="942">
        <v>10100</v>
      </c>
      <c r="G15" s="941">
        <v>0</v>
      </c>
      <c r="H15" s="942">
        <v>10100</v>
      </c>
      <c r="I15" s="941">
        <v>0</v>
      </c>
      <c r="J15" s="942">
        <v>10379</v>
      </c>
      <c r="K15" s="941">
        <v>0</v>
      </c>
      <c r="L15" s="942">
        <v>10460</v>
      </c>
      <c r="M15" s="941">
        <v>0</v>
      </c>
      <c r="N15" s="942">
        <v>10543</v>
      </c>
      <c r="O15" s="941">
        <v>0</v>
      </c>
      <c r="P15" s="942">
        <v>10624</v>
      </c>
      <c r="Q15" s="941">
        <v>0</v>
      </c>
      <c r="R15" s="942">
        <v>10707</v>
      </c>
      <c r="S15" s="941">
        <v>0</v>
      </c>
      <c r="T15" s="942">
        <v>10759</v>
      </c>
      <c r="U15" s="941">
        <v>0</v>
      </c>
      <c r="V15" s="942">
        <v>10336</v>
      </c>
      <c r="W15" s="943">
        <v>500</v>
      </c>
      <c r="X15" s="942">
        <v>10360</v>
      </c>
      <c r="Y15" s="942">
        <v>500</v>
      </c>
      <c r="Z15" s="942">
        <v>10385</v>
      </c>
      <c r="AA15" s="942">
        <v>500</v>
      </c>
      <c r="AB15" s="942">
        <v>4009</v>
      </c>
      <c r="AC15" s="941">
        <v>0</v>
      </c>
      <c r="AD15" s="942">
        <v>4034</v>
      </c>
      <c r="AE15" s="941">
        <v>0</v>
      </c>
      <c r="AF15" s="942">
        <v>4058.67</v>
      </c>
      <c r="AG15" s="941">
        <v>0</v>
      </c>
      <c r="AH15" s="942">
        <v>4083</v>
      </c>
      <c r="AI15" s="941">
        <v>0</v>
      </c>
      <c r="AJ15" s="942">
        <v>4107.3</v>
      </c>
      <c r="AK15" s="941">
        <v>0</v>
      </c>
      <c r="AL15" s="942">
        <v>4131.6000000000004</v>
      </c>
      <c r="AM15" s="941">
        <v>0</v>
      </c>
      <c r="AN15" s="942">
        <v>4157.42</v>
      </c>
      <c r="AO15" s="941">
        <v>0</v>
      </c>
      <c r="AP15" s="942">
        <v>4000</v>
      </c>
      <c r="AQ15" s="941">
        <v>0</v>
      </c>
      <c r="AR15" s="942">
        <v>4000</v>
      </c>
      <c r="AS15" s="941">
        <v>0</v>
      </c>
      <c r="AT15" s="942">
        <v>4000</v>
      </c>
      <c r="AU15" s="941">
        <v>0</v>
      </c>
      <c r="AV15" s="942">
        <v>4000</v>
      </c>
      <c r="AW15" s="941">
        <v>0</v>
      </c>
      <c r="AX15" s="942">
        <v>3500</v>
      </c>
      <c r="AY15" s="941">
        <v>0</v>
      </c>
      <c r="AZ15" s="942">
        <v>3500</v>
      </c>
      <c r="BA15" s="941">
        <v>0</v>
      </c>
      <c r="BB15" s="942">
        <v>3500</v>
      </c>
      <c r="BC15" s="941">
        <v>0</v>
      </c>
      <c r="BD15" s="942">
        <v>3500</v>
      </c>
      <c r="BE15" s="941">
        <v>0</v>
      </c>
      <c r="BF15" s="942">
        <v>3500</v>
      </c>
      <c r="BG15" s="941">
        <v>0</v>
      </c>
      <c r="BH15" s="942">
        <v>3500</v>
      </c>
      <c r="BI15" s="941">
        <v>0</v>
      </c>
      <c r="BJ15" s="942">
        <v>3500</v>
      </c>
      <c r="BK15" s="941">
        <v>0</v>
      </c>
      <c r="BL15" s="942">
        <v>3500</v>
      </c>
      <c r="BM15" s="941">
        <v>0</v>
      </c>
      <c r="BN15" s="942">
        <v>1000</v>
      </c>
      <c r="BO15" s="941">
        <v>0</v>
      </c>
      <c r="BP15" s="942">
        <v>1006.25</v>
      </c>
      <c r="BQ15" s="941">
        <v>0</v>
      </c>
      <c r="BR15" s="942">
        <v>1012.499</v>
      </c>
      <c r="BS15" s="941">
        <v>0</v>
      </c>
      <c r="BT15" s="942">
        <v>1018.75</v>
      </c>
      <c r="BU15" s="941">
        <v>0</v>
      </c>
    </row>
    <row r="16" spans="1:73" ht="20" customHeight="1" x14ac:dyDescent="0.35">
      <c r="A16" s="944" t="s">
        <v>116</v>
      </c>
      <c r="B16" s="943">
        <v>0</v>
      </c>
      <c r="C16" s="943">
        <v>0</v>
      </c>
      <c r="D16" s="941">
        <v>0</v>
      </c>
      <c r="E16" s="941">
        <v>0</v>
      </c>
      <c r="F16" s="941">
        <v>0</v>
      </c>
      <c r="G16" s="941">
        <v>0</v>
      </c>
      <c r="H16" s="941">
        <v>0</v>
      </c>
      <c r="I16" s="941">
        <v>0</v>
      </c>
      <c r="J16" s="941">
        <v>0</v>
      </c>
      <c r="K16" s="941">
        <v>0</v>
      </c>
      <c r="L16" s="941">
        <v>0</v>
      </c>
      <c r="M16" s="942">
        <v>200</v>
      </c>
      <c r="N16" s="941">
        <v>0</v>
      </c>
      <c r="O16" s="942">
        <v>200</v>
      </c>
      <c r="P16" s="941">
        <v>0</v>
      </c>
      <c r="Q16" s="942">
        <v>200</v>
      </c>
      <c r="R16" s="941">
        <v>0</v>
      </c>
      <c r="S16" s="942">
        <v>200</v>
      </c>
      <c r="T16" s="941">
        <v>0</v>
      </c>
      <c r="U16" s="942">
        <v>200</v>
      </c>
      <c r="V16" s="941">
        <v>0</v>
      </c>
      <c r="W16" s="942">
        <v>200</v>
      </c>
      <c r="X16" s="941">
        <v>0</v>
      </c>
      <c r="Y16" s="942">
        <v>200</v>
      </c>
      <c r="Z16" s="941">
        <v>0</v>
      </c>
      <c r="AA16" s="942">
        <v>200</v>
      </c>
      <c r="AB16" s="941">
        <v>0</v>
      </c>
      <c r="AC16" s="942">
        <v>200</v>
      </c>
      <c r="AD16" s="941">
        <v>0</v>
      </c>
      <c r="AE16" s="942">
        <v>200</v>
      </c>
      <c r="AF16" s="941">
        <v>0</v>
      </c>
      <c r="AG16" s="942">
        <v>200</v>
      </c>
      <c r="AH16" s="941">
        <v>0</v>
      </c>
      <c r="AI16" s="942">
        <v>200</v>
      </c>
      <c r="AJ16" s="941">
        <v>0</v>
      </c>
      <c r="AK16" s="942">
        <v>200</v>
      </c>
      <c r="AL16" s="941">
        <v>0</v>
      </c>
      <c r="AM16" s="942">
        <v>200</v>
      </c>
      <c r="AN16" s="941">
        <v>0</v>
      </c>
      <c r="AO16" s="942">
        <v>1200</v>
      </c>
      <c r="AP16" s="941">
        <v>0</v>
      </c>
      <c r="AQ16" s="942">
        <v>1200</v>
      </c>
      <c r="AR16" s="941">
        <v>0</v>
      </c>
      <c r="AS16" s="942">
        <v>1200</v>
      </c>
      <c r="AT16" s="941">
        <v>0</v>
      </c>
      <c r="AU16" s="942">
        <v>1200</v>
      </c>
      <c r="AV16" s="941">
        <v>0</v>
      </c>
      <c r="AW16" s="942">
        <v>1200</v>
      </c>
      <c r="AX16" s="941">
        <v>0</v>
      </c>
      <c r="AY16" s="942">
        <v>1200</v>
      </c>
      <c r="AZ16" s="941">
        <v>0</v>
      </c>
      <c r="BA16" s="942">
        <v>1200</v>
      </c>
      <c r="BB16" s="941">
        <v>0</v>
      </c>
      <c r="BC16" s="942">
        <v>1700</v>
      </c>
      <c r="BD16" s="941">
        <v>0</v>
      </c>
      <c r="BE16" s="942">
        <v>1650</v>
      </c>
      <c r="BF16" s="941">
        <v>0</v>
      </c>
      <c r="BG16" s="942">
        <v>1650</v>
      </c>
      <c r="BH16" s="941">
        <v>0</v>
      </c>
      <c r="BI16" s="942">
        <v>1500</v>
      </c>
      <c r="BJ16" s="941">
        <v>0</v>
      </c>
      <c r="BK16" s="942">
        <v>1540</v>
      </c>
      <c r="BL16" s="941">
        <v>0</v>
      </c>
      <c r="BM16" s="942">
        <v>1540</v>
      </c>
      <c r="BN16" s="941">
        <v>0</v>
      </c>
      <c r="BO16" s="942">
        <v>1490</v>
      </c>
      <c r="BP16" s="941">
        <v>0</v>
      </c>
      <c r="BQ16" s="942">
        <v>1490</v>
      </c>
      <c r="BR16" s="941">
        <v>0</v>
      </c>
      <c r="BS16" s="942">
        <v>1437.59</v>
      </c>
      <c r="BT16" s="941">
        <v>0</v>
      </c>
      <c r="BU16" s="942">
        <v>1423.51</v>
      </c>
    </row>
    <row r="17" spans="1:73" s="938" customFormat="1" ht="20" customHeight="1" x14ac:dyDescent="0.35">
      <c r="A17" s="940" t="s">
        <v>795</v>
      </c>
      <c r="B17" s="939">
        <v>7050</v>
      </c>
      <c r="C17" s="939">
        <v>523</v>
      </c>
      <c r="D17" s="939">
        <v>13495</v>
      </c>
      <c r="E17" s="939">
        <v>474</v>
      </c>
      <c r="F17" s="939">
        <v>13441</v>
      </c>
      <c r="G17" s="939">
        <v>393</v>
      </c>
      <c r="H17" s="939">
        <v>13463</v>
      </c>
      <c r="I17" s="939">
        <v>329</v>
      </c>
      <c r="J17" s="939">
        <v>13723</v>
      </c>
      <c r="K17" s="939">
        <v>259.99999978</v>
      </c>
      <c r="L17" s="939">
        <v>13825</v>
      </c>
      <c r="M17" s="939">
        <v>406</v>
      </c>
      <c r="N17" s="939">
        <v>16888</v>
      </c>
      <c r="O17" s="939">
        <v>740</v>
      </c>
      <c r="P17" s="939">
        <v>16997</v>
      </c>
      <c r="Q17" s="939">
        <v>808</v>
      </c>
      <c r="R17" s="939">
        <v>17067</v>
      </c>
      <c r="S17" s="939">
        <v>746</v>
      </c>
      <c r="T17" s="939">
        <v>17068</v>
      </c>
      <c r="U17" s="939">
        <v>722</v>
      </c>
      <c r="V17" s="939">
        <v>13604</v>
      </c>
      <c r="W17" s="939">
        <v>1192</v>
      </c>
      <c r="X17" s="939">
        <v>13627</v>
      </c>
      <c r="Y17" s="939">
        <v>1169</v>
      </c>
      <c r="Z17" s="939">
        <v>13610</v>
      </c>
      <c r="AA17" s="939">
        <v>1458</v>
      </c>
      <c r="AB17" s="939">
        <v>7233</v>
      </c>
      <c r="AC17" s="939">
        <v>1339</v>
      </c>
      <c r="AD17" s="939">
        <v>7227</v>
      </c>
      <c r="AE17" s="939">
        <v>1959</v>
      </c>
      <c r="AF17" s="939">
        <v>7250.33</v>
      </c>
      <c r="AG17" s="939">
        <v>2175.89</v>
      </c>
      <c r="AH17" s="939">
        <v>7246.75</v>
      </c>
      <c r="AI17" s="939">
        <v>2713.48</v>
      </c>
      <c r="AJ17" s="939">
        <v>7269.8</v>
      </c>
      <c r="AK17" s="939">
        <v>2983.4</v>
      </c>
      <c r="AL17" s="939">
        <v>7244.9000000000005</v>
      </c>
      <c r="AM17" s="939">
        <v>3846.3</v>
      </c>
      <c r="AN17" s="939">
        <v>7270.72</v>
      </c>
      <c r="AO17" s="939">
        <v>5118.4799999999996</v>
      </c>
      <c r="AP17" s="939">
        <v>7100</v>
      </c>
      <c r="AQ17" s="939">
        <v>5383.85</v>
      </c>
      <c r="AR17" s="939">
        <v>7100</v>
      </c>
      <c r="AS17" s="939">
        <v>5795</v>
      </c>
      <c r="AT17" s="939">
        <v>7100</v>
      </c>
      <c r="AU17" s="939">
        <v>6466.02</v>
      </c>
      <c r="AV17" s="939">
        <v>7100</v>
      </c>
      <c r="AW17" s="939">
        <v>6356.9800000000005</v>
      </c>
      <c r="AX17" s="939">
        <v>6600</v>
      </c>
      <c r="AY17" s="939">
        <v>6568.6500000000005</v>
      </c>
      <c r="AZ17" s="939">
        <v>6600</v>
      </c>
      <c r="BA17" s="939">
        <v>6859</v>
      </c>
      <c r="BB17" s="939">
        <v>6600</v>
      </c>
      <c r="BC17" s="939">
        <v>7772.17</v>
      </c>
      <c r="BD17" s="939">
        <v>6600</v>
      </c>
      <c r="BE17" s="939">
        <v>7776.72</v>
      </c>
      <c r="BF17" s="939">
        <v>6600</v>
      </c>
      <c r="BG17" s="939">
        <v>12788.61</v>
      </c>
      <c r="BH17" s="939">
        <v>6600</v>
      </c>
      <c r="BI17" s="939">
        <v>13373</v>
      </c>
      <c r="BJ17" s="939">
        <v>6600</v>
      </c>
      <c r="BK17" s="939">
        <v>14515.55</v>
      </c>
      <c r="BL17" s="939">
        <v>6600</v>
      </c>
      <c r="BM17" s="939">
        <v>14587.419999999998</v>
      </c>
      <c r="BN17" s="939">
        <v>4100</v>
      </c>
      <c r="BO17" s="939">
        <v>15298.48</v>
      </c>
      <c r="BP17" s="939">
        <v>4106.25</v>
      </c>
      <c r="BQ17" s="939">
        <v>14788.279999999999</v>
      </c>
      <c r="BR17" s="939">
        <v>3595.8289999999997</v>
      </c>
      <c r="BS17" s="939">
        <v>14581.17</v>
      </c>
      <c r="BT17" s="939">
        <v>3602.08</v>
      </c>
      <c r="BU17" s="939">
        <v>15008.369999999999</v>
      </c>
    </row>
    <row r="18" spans="1:73" ht="20" customHeight="1" x14ac:dyDescent="0.35">
      <c r="A18" s="944"/>
      <c r="B18" s="943"/>
      <c r="C18" s="946"/>
      <c r="D18" s="942"/>
      <c r="E18" s="945"/>
      <c r="F18" s="942"/>
      <c r="G18" s="945"/>
      <c r="H18" s="942"/>
      <c r="I18" s="942"/>
      <c r="J18" s="942"/>
      <c r="K18" s="942"/>
      <c r="L18" s="942"/>
      <c r="M18" s="942"/>
      <c r="N18" s="942"/>
      <c r="O18" s="942"/>
      <c r="P18" s="942"/>
      <c r="Q18" s="942"/>
      <c r="R18" s="942"/>
      <c r="S18" s="942"/>
      <c r="T18" s="941"/>
      <c r="U18" s="942"/>
      <c r="V18" s="941"/>
      <c r="W18" s="941"/>
      <c r="X18" s="941"/>
      <c r="Y18" s="941"/>
      <c r="Z18" s="941"/>
      <c r="AA18" s="942"/>
      <c r="AB18" s="941"/>
      <c r="AC18" s="942"/>
      <c r="AD18" s="941"/>
      <c r="AE18" s="942"/>
      <c r="AF18" s="941"/>
      <c r="AG18" s="942"/>
      <c r="AH18" s="941"/>
      <c r="AI18" s="942"/>
      <c r="AJ18" s="941"/>
      <c r="AK18" s="942"/>
      <c r="AL18" s="941"/>
      <c r="AM18" s="942"/>
      <c r="AN18" s="941"/>
      <c r="AO18" s="942"/>
      <c r="AP18" s="941"/>
      <c r="AQ18" s="942"/>
      <c r="AR18" s="941"/>
      <c r="AS18" s="942"/>
      <c r="AT18" s="941"/>
      <c r="AU18" s="942"/>
      <c r="AV18" s="941"/>
      <c r="AW18" s="942"/>
      <c r="AX18" s="941"/>
      <c r="AY18" s="942"/>
      <c r="AZ18" s="941"/>
      <c r="BA18" s="942"/>
      <c r="BB18" s="941"/>
      <c r="BC18" s="942"/>
      <c r="BD18" s="941"/>
      <c r="BE18" s="942"/>
      <c r="BF18" s="941"/>
      <c r="BG18" s="942"/>
      <c r="BH18" s="941"/>
      <c r="BI18" s="942"/>
      <c r="BJ18" s="941"/>
      <c r="BK18" s="942"/>
      <c r="BL18" s="941"/>
      <c r="BM18" s="942"/>
      <c r="BN18" s="941"/>
      <c r="BO18" s="942"/>
      <c r="BP18" s="941"/>
      <c r="BQ18" s="942"/>
      <c r="BR18" s="941"/>
      <c r="BS18" s="942"/>
      <c r="BT18" s="941"/>
      <c r="BU18" s="942"/>
    </row>
    <row r="19" spans="1:73" ht="20" customHeight="1" x14ac:dyDescent="0.35">
      <c r="A19" s="947" t="s">
        <v>794</v>
      </c>
      <c r="B19" s="943"/>
      <c r="C19" s="946"/>
      <c r="D19" s="942"/>
      <c r="E19" s="945"/>
      <c r="F19" s="942"/>
      <c r="G19" s="945"/>
      <c r="H19" s="942"/>
      <c r="I19" s="942"/>
      <c r="J19" s="942"/>
      <c r="K19" s="942"/>
      <c r="L19" s="942"/>
      <c r="M19" s="942"/>
      <c r="N19" s="942"/>
      <c r="O19" s="942"/>
      <c r="P19" s="942"/>
      <c r="Q19" s="942"/>
      <c r="R19" s="942"/>
      <c r="S19" s="942"/>
      <c r="T19" s="941"/>
      <c r="U19" s="942"/>
      <c r="V19" s="941"/>
      <c r="W19" s="941"/>
      <c r="X19" s="941"/>
      <c r="Y19" s="941"/>
      <c r="Z19" s="941"/>
      <c r="AA19" s="942"/>
      <c r="AB19" s="941"/>
      <c r="AC19" s="942"/>
      <c r="AD19" s="941"/>
      <c r="AE19" s="942"/>
      <c r="AF19" s="941"/>
      <c r="AG19" s="942"/>
      <c r="AH19" s="941"/>
      <c r="AI19" s="942"/>
      <c r="AJ19" s="941"/>
      <c r="AK19" s="942"/>
      <c r="AL19" s="941"/>
      <c r="AM19" s="942"/>
      <c r="AN19" s="941"/>
      <c r="AO19" s="942"/>
      <c r="AP19" s="941"/>
      <c r="AQ19" s="942"/>
      <c r="AR19" s="941"/>
      <c r="AS19" s="942"/>
      <c r="AT19" s="941"/>
      <c r="AU19" s="942"/>
      <c r="AV19" s="941"/>
      <c r="AW19" s="942"/>
      <c r="AX19" s="941"/>
      <c r="AY19" s="942"/>
      <c r="AZ19" s="941"/>
      <c r="BA19" s="942"/>
      <c r="BB19" s="941"/>
      <c r="BC19" s="942"/>
      <c r="BD19" s="941"/>
      <c r="BE19" s="942"/>
      <c r="BF19" s="941"/>
      <c r="BG19" s="942"/>
      <c r="BH19" s="941"/>
      <c r="BI19" s="942"/>
      <c r="BJ19" s="941"/>
      <c r="BK19" s="942"/>
      <c r="BL19" s="941"/>
      <c r="BM19" s="942"/>
      <c r="BN19" s="941"/>
      <c r="BO19" s="942"/>
      <c r="BP19" s="941"/>
      <c r="BQ19" s="942"/>
      <c r="BR19" s="941"/>
      <c r="BS19" s="942"/>
      <c r="BT19" s="941"/>
      <c r="BU19" s="942"/>
    </row>
    <row r="20" spans="1:73" ht="20" hidden="1" customHeight="1" x14ac:dyDescent="0.35">
      <c r="A20" s="944" t="s">
        <v>140</v>
      </c>
      <c r="B20" s="943">
        <v>0</v>
      </c>
      <c r="C20" s="946">
        <v>220</v>
      </c>
      <c r="D20" s="941">
        <v>0</v>
      </c>
      <c r="E20" s="942">
        <v>210</v>
      </c>
      <c r="F20" s="941">
        <v>0</v>
      </c>
      <c r="G20" s="945">
        <v>200</v>
      </c>
      <c r="H20" s="941">
        <v>0</v>
      </c>
      <c r="I20" s="942">
        <v>190</v>
      </c>
      <c r="J20" s="941">
        <v>0</v>
      </c>
      <c r="K20" s="942">
        <v>179</v>
      </c>
      <c r="L20" s="941">
        <v>0</v>
      </c>
      <c r="M20" s="942">
        <v>169</v>
      </c>
      <c r="N20" s="941">
        <v>0</v>
      </c>
      <c r="O20" s="942">
        <v>1850</v>
      </c>
      <c r="P20" s="941">
        <v>0</v>
      </c>
      <c r="Q20" s="942">
        <v>2010</v>
      </c>
      <c r="R20" s="941">
        <v>0</v>
      </c>
      <c r="S20" s="942">
        <v>3315</v>
      </c>
      <c r="T20" s="941">
        <v>0</v>
      </c>
      <c r="U20" s="942">
        <v>2602</v>
      </c>
      <c r="V20" s="941">
        <v>0</v>
      </c>
      <c r="W20" s="942">
        <v>1628</v>
      </c>
      <c r="X20" s="941">
        <v>0</v>
      </c>
      <c r="Y20" s="942">
        <v>1282</v>
      </c>
      <c r="Z20" s="941">
        <v>0</v>
      </c>
      <c r="AA20" s="942">
        <v>1317</v>
      </c>
      <c r="AB20" s="941">
        <v>0</v>
      </c>
      <c r="AC20" s="942">
        <v>1327</v>
      </c>
      <c r="AD20" s="941">
        <v>0</v>
      </c>
      <c r="AE20" s="942">
        <v>1331</v>
      </c>
      <c r="AF20" s="941">
        <v>0</v>
      </c>
      <c r="AG20" s="942">
        <v>1342.92</v>
      </c>
      <c r="AH20" s="941">
        <v>0</v>
      </c>
      <c r="AI20" s="942">
        <v>1415.54</v>
      </c>
      <c r="AJ20" s="941">
        <v>0</v>
      </c>
      <c r="AK20" s="942">
        <v>1405</v>
      </c>
      <c r="AL20" s="941">
        <v>0</v>
      </c>
      <c r="AM20" s="941">
        <v>0</v>
      </c>
      <c r="AN20" s="941">
        <v>0</v>
      </c>
      <c r="AO20" s="941">
        <v>0</v>
      </c>
      <c r="AP20" s="941">
        <v>0</v>
      </c>
      <c r="AQ20" s="941">
        <v>0</v>
      </c>
      <c r="AR20" s="941">
        <v>0</v>
      </c>
      <c r="AS20" s="941">
        <v>0</v>
      </c>
      <c r="AT20" s="941">
        <v>0</v>
      </c>
      <c r="AU20" s="941">
        <v>0</v>
      </c>
      <c r="AV20" s="941">
        <v>0</v>
      </c>
      <c r="AW20" s="941">
        <v>0</v>
      </c>
      <c r="AX20" s="941">
        <v>0</v>
      </c>
      <c r="AY20" s="941">
        <v>0</v>
      </c>
      <c r="AZ20" s="941">
        <v>0</v>
      </c>
      <c r="BA20" s="941">
        <v>0</v>
      </c>
      <c r="BB20" s="941">
        <v>0</v>
      </c>
      <c r="BC20" s="941">
        <v>0</v>
      </c>
      <c r="BD20" s="941">
        <v>0</v>
      </c>
      <c r="BE20" s="941">
        <v>0</v>
      </c>
      <c r="BF20" s="941">
        <v>0</v>
      </c>
      <c r="BG20" s="942">
        <v>500</v>
      </c>
      <c r="BH20" s="941">
        <v>0</v>
      </c>
      <c r="BI20" s="941">
        <v>0</v>
      </c>
      <c r="BJ20" s="941">
        <v>0</v>
      </c>
      <c r="BK20" s="941">
        <v>0</v>
      </c>
      <c r="BL20" s="941">
        <v>0</v>
      </c>
      <c r="BM20" s="941">
        <v>0</v>
      </c>
      <c r="BN20" s="941">
        <v>0</v>
      </c>
      <c r="BO20" s="941">
        <v>0</v>
      </c>
      <c r="BP20" s="941">
        <v>0</v>
      </c>
      <c r="BQ20" s="941">
        <v>0</v>
      </c>
      <c r="BR20" s="941">
        <v>0</v>
      </c>
      <c r="BS20" s="941">
        <v>0</v>
      </c>
      <c r="BT20" s="941">
        <v>0</v>
      </c>
      <c r="BU20" s="941">
        <v>0</v>
      </c>
    </row>
    <row r="21" spans="1:73" ht="20" customHeight="1" x14ac:dyDescent="0.35">
      <c r="A21" s="944" t="s">
        <v>139</v>
      </c>
      <c r="B21" s="943">
        <v>0</v>
      </c>
      <c r="C21" s="946">
        <v>158</v>
      </c>
      <c r="D21" s="941">
        <v>0</v>
      </c>
      <c r="E21" s="942">
        <v>140</v>
      </c>
      <c r="F21" s="941">
        <v>0</v>
      </c>
      <c r="G21" s="945">
        <v>122</v>
      </c>
      <c r="H21" s="941">
        <v>0</v>
      </c>
      <c r="I21" s="942">
        <v>105</v>
      </c>
      <c r="J21" s="941">
        <v>0</v>
      </c>
      <c r="K21" s="942">
        <v>88</v>
      </c>
      <c r="L21" s="941">
        <v>0</v>
      </c>
      <c r="M21" s="942">
        <v>70</v>
      </c>
      <c r="N21" s="941">
        <v>0</v>
      </c>
      <c r="O21" s="942">
        <v>53</v>
      </c>
      <c r="P21" s="941">
        <v>0</v>
      </c>
      <c r="Q21" s="942">
        <v>35</v>
      </c>
      <c r="R21" s="941">
        <v>0</v>
      </c>
      <c r="S21" s="942">
        <v>18</v>
      </c>
      <c r="T21" s="941">
        <v>0</v>
      </c>
      <c r="U21" s="942">
        <v>0</v>
      </c>
      <c r="V21" s="941">
        <v>0</v>
      </c>
      <c r="W21" s="941">
        <v>0</v>
      </c>
      <c r="X21" s="941">
        <v>0</v>
      </c>
      <c r="Y21" s="941">
        <v>0</v>
      </c>
      <c r="Z21" s="941">
        <v>0</v>
      </c>
      <c r="AA21" s="941">
        <v>0</v>
      </c>
      <c r="AB21" s="941">
        <v>0</v>
      </c>
      <c r="AC21" s="941">
        <v>0</v>
      </c>
      <c r="AD21" s="941">
        <v>0</v>
      </c>
      <c r="AE21" s="941">
        <v>0</v>
      </c>
      <c r="AF21" s="941">
        <v>0</v>
      </c>
      <c r="AG21" s="941">
        <v>1178.8599999999999</v>
      </c>
      <c r="AH21" s="941">
        <v>0</v>
      </c>
      <c r="AI21" s="942">
        <v>1209.0999999999999</v>
      </c>
      <c r="AJ21" s="941">
        <v>0</v>
      </c>
      <c r="AK21" s="942">
        <v>1209.5</v>
      </c>
      <c r="AL21" s="941">
        <v>0</v>
      </c>
      <c r="AM21" s="942">
        <v>1221</v>
      </c>
      <c r="AN21" s="941">
        <v>0</v>
      </c>
      <c r="AO21" s="942">
        <v>2508.79</v>
      </c>
      <c r="AP21" s="941">
        <v>0</v>
      </c>
      <c r="AQ21" s="942">
        <v>2549.9</v>
      </c>
      <c r="AR21" s="941">
        <v>0</v>
      </c>
      <c r="AS21" s="942">
        <v>3187</v>
      </c>
      <c r="AT21" s="941">
        <v>0</v>
      </c>
      <c r="AU21" s="942">
        <v>3117.89</v>
      </c>
      <c r="AV21" s="941">
        <v>0</v>
      </c>
      <c r="AW21" s="942">
        <v>3211.2</v>
      </c>
      <c r="AX21" s="941">
        <v>0</v>
      </c>
      <c r="AY21" s="942">
        <v>3191.6</v>
      </c>
      <c r="AZ21" s="941">
        <v>0</v>
      </c>
      <c r="BA21" s="942">
        <v>3131</v>
      </c>
      <c r="BB21" s="941">
        <v>0</v>
      </c>
      <c r="BC21" s="942">
        <v>3106.27</v>
      </c>
      <c r="BD21" s="941">
        <v>0</v>
      </c>
      <c r="BE21" s="942">
        <v>3243</v>
      </c>
      <c r="BF21" s="941">
        <v>0</v>
      </c>
      <c r="BG21" s="942">
        <v>3236.26</v>
      </c>
      <c r="BH21" s="941">
        <v>0</v>
      </c>
      <c r="BI21" s="942">
        <v>3122</v>
      </c>
      <c r="BJ21" s="941">
        <v>0</v>
      </c>
      <c r="BK21" s="942">
        <v>3139.68</v>
      </c>
      <c r="BL21" s="941">
        <v>0</v>
      </c>
      <c r="BM21" s="942">
        <v>2963.44</v>
      </c>
      <c r="BN21" s="941">
        <v>0</v>
      </c>
      <c r="BO21" s="942">
        <v>2887.33</v>
      </c>
      <c r="BP21" s="941">
        <v>0</v>
      </c>
      <c r="BQ21" s="942">
        <v>2765.32</v>
      </c>
      <c r="BR21" s="943">
        <v>0</v>
      </c>
      <c r="BS21" s="943">
        <v>2687.12</v>
      </c>
      <c r="BT21" s="943">
        <v>0</v>
      </c>
      <c r="BU21" s="943">
        <v>2535.2800000000002</v>
      </c>
    </row>
    <row r="22" spans="1:73" ht="20" customHeight="1" x14ac:dyDescent="0.35">
      <c r="A22" s="944" t="s">
        <v>137</v>
      </c>
      <c r="B22" s="943"/>
      <c r="C22" s="946"/>
      <c r="D22" s="941"/>
      <c r="E22" s="942"/>
      <c r="F22" s="941"/>
      <c r="G22" s="945"/>
      <c r="H22" s="941"/>
      <c r="I22" s="942"/>
      <c r="J22" s="941"/>
      <c r="K22" s="942"/>
      <c r="L22" s="941"/>
      <c r="M22" s="942"/>
      <c r="N22" s="941"/>
      <c r="O22" s="942"/>
      <c r="P22" s="941"/>
      <c r="Q22" s="942"/>
      <c r="R22" s="941"/>
      <c r="S22" s="942"/>
      <c r="T22" s="941"/>
      <c r="U22" s="942"/>
      <c r="V22" s="941"/>
      <c r="W22" s="941"/>
      <c r="X22" s="941"/>
      <c r="Y22" s="941"/>
      <c r="Z22" s="941"/>
      <c r="AA22" s="941"/>
      <c r="AB22" s="941">
        <v>0</v>
      </c>
      <c r="AC22" s="942">
        <v>10</v>
      </c>
      <c r="AD22" s="941">
        <v>0</v>
      </c>
      <c r="AE22" s="942">
        <v>20</v>
      </c>
      <c r="AF22" s="941">
        <v>0</v>
      </c>
      <c r="AG22" s="942">
        <v>33.5</v>
      </c>
      <c r="AH22" s="941">
        <v>0</v>
      </c>
      <c r="AI22" s="942">
        <v>33.56</v>
      </c>
      <c r="AJ22" s="941">
        <v>0</v>
      </c>
      <c r="AK22" s="942">
        <v>33.56</v>
      </c>
      <c r="AL22" s="941">
        <v>0</v>
      </c>
      <c r="AM22" s="942">
        <v>32.67</v>
      </c>
      <c r="AN22" s="941">
        <v>0</v>
      </c>
      <c r="AO22" s="942">
        <v>32.67</v>
      </c>
      <c r="AP22" s="941">
        <v>0</v>
      </c>
      <c r="AQ22" s="942">
        <v>31.77</v>
      </c>
      <c r="AR22" s="941">
        <v>0</v>
      </c>
      <c r="AS22" s="942">
        <v>31.77</v>
      </c>
      <c r="AT22" s="941">
        <v>0</v>
      </c>
      <c r="AU22" s="942">
        <v>30.77</v>
      </c>
      <c r="AV22" s="941">
        <v>0</v>
      </c>
      <c r="AW22" s="942">
        <v>30.77</v>
      </c>
      <c r="AX22" s="941">
        <v>0</v>
      </c>
      <c r="AY22" s="942">
        <v>30</v>
      </c>
      <c r="AZ22" s="941">
        <v>0</v>
      </c>
      <c r="BA22" s="942">
        <v>30</v>
      </c>
      <c r="BB22" s="941">
        <v>0</v>
      </c>
      <c r="BC22" s="942">
        <v>29.2</v>
      </c>
      <c r="BD22" s="941">
        <v>0</v>
      </c>
      <c r="BE22" s="942">
        <v>29.2</v>
      </c>
      <c r="BF22" s="941">
        <v>0</v>
      </c>
      <c r="BG22" s="942">
        <v>28.39</v>
      </c>
      <c r="BH22" s="941">
        <v>0</v>
      </c>
      <c r="BI22" s="942">
        <v>28.39</v>
      </c>
      <c r="BJ22" s="941">
        <v>0</v>
      </c>
      <c r="BK22" s="942">
        <v>27.57</v>
      </c>
      <c r="BL22" s="941">
        <v>0</v>
      </c>
      <c r="BM22" s="942">
        <v>27.57</v>
      </c>
      <c r="BN22" s="941">
        <v>0</v>
      </c>
      <c r="BO22" s="942">
        <v>26.67</v>
      </c>
      <c r="BP22" s="941">
        <v>0</v>
      </c>
      <c r="BQ22" s="942">
        <v>26.67</v>
      </c>
      <c r="BR22" s="943">
        <v>0</v>
      </c>
      <c r="BS22" s="943">
        <v>25.77</v>
      </c>
      <c r="BT22" s="943">
        <v>0</v>
      </c>
      <c r="BU22" s="943">
        <v>25.77</v>
      </c>
    </row>
    <row r="23" spans="1:73" ht="20" customHeight="1" x14ac:dyDescent="0.35">
      <c r="A23" s="944" t="s">
        <v>136</v>
      </c>
      <c r="B23" s="943">
        <v>0</v>
      </c>
      <c r="C23" s="946">
        <v>1578</v>
      </c>
      <c r="D23" s="941">
        <v>0</v>
      </c>
      <c r="E23" s="945">
        <v>1462</v>
      </c>
      <c r="F23" s="941">
        <v>0</v>
      </c>
      <c r="G23" s="945">
        <v>1463</v>
      </c>
      <c r="H23" s="941">
        <v>0</v>
      </c>
      <c r="I23" s="942">
        <v>1345</v>
      </c>
      <c r="J23" s="941">
        <v>0</v>
      </c>
      <c r="K23" s="942">
        <v>1338</v>
      </c>
      <c r="L23" s="941">
        <v>0</v>
      </c>
      <c r="M23" s="942">
        <v>1263</v>
      </c>
      <c r="N23" s="941">
        <v>0</v>
      </c>
      <c r="O23" s="942">
        <v>1264</v>
      </c>
      <c r="P23" s="941">
        <v>0</v>
      </c>
      <c r="Q23" s="942">
        <v>1181</v>
      </c>
      <c r="R23" s="941">
        <v>0</v>
      </c>
      <c r="S23" s="942">
        <v>764</v>
      </c>
      <c r="T23" s="941">
        <v>0</v>
      </c>
      <c r="U23" s="942">
        <v>717</v>
      </c>
      <c r="V23" s="941">
        <v>0</v>
      </c>
      <c r="W23" s="942">
        <v>106</v>
      </c>
      <c r="X23" s="941">
        <v>0</v>
      </c>
      <c r="Y23" s="942">
        <v>106</v>
      </c>
      <c r="Z23" s="941">
        <v>0</v>
      </c>
      <c r="AA23" s="942">
        <v>108</v>
      </c>
      <c r="AB23" s="941">
        <v>0</v>
      </c>
      <c r="AC23" s="942">
        <v>105</v>
      </c>
      <c r="AD23" s="941">
        <v>0</v>
      </c>
      <c r="AE23" s="942">
        <v>105</v>
      </c>
      <c r="AF23" s="941">
        <v>0</v>
      </c>
      <c r="AG23" s="942">
        <v>105.43</v>
      </c>
      <c r="AH23" s="941">
        <v>0</v>
      </c>
      <c r="AI23" s="942">
        <v>110.67</v>
      </c>
      <c r="AJ23" s="941">
        <v>0</v>
      </c>
      <c r="AK23" s="942">
        <v>110.67</v>
      </c>
      <c r="AL23" s="941">
        <v>0</v>
      </c>
      <c r="AM23" s="942">
        <v>115.9</v>
      </c>
      <c r="AN23" s="941">
        <v>0</v>
      </c>
      <c r="AO23" s="942">
        <v>118.81</v>
      </c>
      <c r="AP23" s="941">
        <v>0</v>
      </c>
      <c r="AQ23" s="942">
        <v>120.05</v>
      </c>
      <c r="AR23" s="941">
        <v>0</v>
      </c>
      <c r="AS23" s="942">
        <v>910</v>
      </c>
      <c r="AT23" s="941">
        <v>0</v>
      </c>
      <c r="AU23" s="942">
        <v>2061.02</v>
      </c>
      <c r="AV23" s="941">
        <v>0</v>
      </c>
      <c r="AW23" s="942">
        <v>3500.7</v>
      </c>
      <c r="AX23" s="941">
        <v>0</v>
      </c>
      <c r="AY23" s="942">
        <v>4608.5600000000004</v>
      </c>
      <c r="AZ23" s="941">
        <v>0</v>
      </c>
      <c r="BA23" s="942">
        <v>5135</v>
      </c>
      <c r="BB23" s="941">
        <v>0</v>
      </c>
      <c r="BC23" s="942">
        <v>6099.8990000000003</v>
      </c>
      <c r="BD23" s="941">
        <v>0</v>
      </c>
      <c r="BE23" s="942">
        <v>6838.53</v>
      </c>
      <c r="BF23" s="941">
        <v>0</v>
      </c>
      <c r="BG23" s="942">
        <v>7107.52</v>
      </c>
      <c r="BH23" s="941">
        <v>0</v>
      </c>
      <c r="BI23" s="942">
        <v>6363</v>
      </c>
      <c r="BJ23" s="941">
        <v>0</v>
      </c>
      <c r="BK23" s="942">
        <v>7357.19</v>
      </c>
      <c r="BL23" s="941">
        <v>0</v>
      </c>
      <c r="BM23" s="942">
        <v>6696.9</v>
      </c>
      <c r="BN23" s="941">
        <v>0</v>
      </c>
      <c r="BO23" s="942">
        <v>6645.9</v>
      </c>
      <c r="BP23" s="941">
        <v>0</v>
      </c>
      <c r="BQ23" s="942">
        <v>7659.6</v>
      </c>
      <c r="BR23" s="943">
        <v>0</v>
      </c>
      <c r="BS23" s="943">
        <v>6558.95</v>
      </c>
      <c r="BT23" s="943">
        <v>0</v>
      </c>
      <c r="BU23" s="943">
        <v>8005.38</v>
      </c>
    </row>
    <row r="24" spans="1:73" ht="20" customHeight="1" x14ac:dyDescent="0.35">
      <c r="A24" s="944" t="s">
        <v>134</v>
      </c>
      <c r="B24" s="943"/>
      <c r="C24" s="946"/>
      <c r="D24" s="942"/>
      <c r="E24" s="945"/>
      <c r="F24" s="942"/>
      <c r="G24" s="945"/>
      <c r="H24" s="942"/>
      <c r="I24" s="942"/>
      <c r="J24" s="942"/>
      <c r="K24" s="942"/>
      <c r="L24" s="942"/>
      <c r="M24" s="942"/>
      <c r="N24" s="942"/>
      <c r="O24" s="942"/>
      <c r="P24" s="942"/>
      <c r="Q24" s="942"/>
      <c r="R24" s="942"/>
      <c r="S24" s="942"/>
      <c r="T24" s="941"/>
      <c r="U24" s="942"/>
      <c r="V24" s="941"/>
      <c r="W24" s="941"/>
      <c r="X24" s="941"/>
      <c r="Y24" s="941"/>
      <c r="Z24" s="941"/>
      <c r="AA24" s="941"/>
      <c r="AB24" s="941"/>
      <c r="AC24" s="941"/>
      <c r="AD24" s="941"/>
      <c r="AE24" s="941"/>
      <c r="AF24" s="941"/>
      <c r="AG24" s="941"/>
      <c r="AH24" s="941"/>
      <c r="AI24" s="941"/>
      <c r="AJ24" s="941"/>
      <c r="AK24" s="941"/>
      <c r="AL24" s="941"/>
      <c r="AM24" s="941"/>
      <c r="AN24" s="941"/>
      <c r="AO24" s="941"/>
      <c r="AP24" s="941">
        <v>0</v>
      </c>
      <c r="AQ24" s="941">
        <v>0</v>
      </c>
      <c r="AR24" s="941">
        <v>0</v>
      </c>
      <c r="AS24" s="941">
        <v>0</v>
      </c>
      <c r="AT24" s="941">
        <v>0</v>
      </c>
      <c r="AU24" s="941">
        <v>0</v>
      </c>
      <c r="AV24" s="941">
        <v>0</v>
      </c>
      <c r="AW24" s="941">
        <v>0</v>
      </c>
      <c r="AX24" s="941">
        <v>0</v>
      </c>
      <c r="AY24" s="941">
        <v>0</v>
      </c>
      <c r="AZ24" s="941">
        <v>0</v>
      </c>
      <c r="BA24" s="943">
        <v>146</v>
      </c>
      <c r="BB24" s="941">
        <v>0</v>
      </c>
      <c r="BC24" s="943">
        <v>148.4</v>
      </c>
      <c r="BD24" s="941">
        <v>0</v>
      </c>
      <c r="BE24" s="943">
        <v>145.6</v>
      </c>
      <c r="BF24" s="941">
        <v>0</v>
      </c>
      <c r="BG24" s="943">
        <v>127.6</v>
      </c>
      <c r="BH24" s="941">
        <v>0</v>
      </c>
      <c r="BI24" s="942">
        <v>135.6</v>
      </c>
      <c r="BJ24" s="941">
        <v>0</v>
      </c>
      <c r="BK24" s="942">
        <v>148.72</v>
      </c>
      <c r="BL24" s="941">
        <v>0</v>
      </c>
      <c r="BM24" s="942">
        <v>196.2</v>
      </c>
      <c r="BN24" s="941">
        <v>0</v>
      </c>
      <c r="BO24" s="942">
        <v>266.5</v>
      </c>
      <c r="BP24" s="941">
        <v>0</v>
      </c>
      <c r="BQ24" s="942">
        <v>304.10000000000002</v>
      </c>
      <c r="BR24" s="943">
        <v>0</v>
      </c>
      <c r="BS24" s="943">
        <v>327.08999999999997</v>
      </c>
      <c r="BT24" s="943">
        <v>0</v>
      </c>
      <c r="BU24" s="943">
        <v>334.52</v>
      </c>
    </row>
    <row r="25" spans="1:73" ht="20" customHeight="1" x14ac:dyDescent="0.35">
      <c r="A25" s="944" t="s">
        <v>135</v>
      </c>
      <c r="B25" s="943">
        <v>137</v>
      </c>
      <c r="C25" s="946">
        <v>44</v>
      </c>
      <c r="D25" s="942">
        <v>125</v>
      </c>
      <c r="E25" s="945">
        <v>44</v>
      </c>
      <c r="F25" s="942">
        <v>116</v>
      </c>
      <c r="G25" s="945">
        <v>38</v>
      </c>
      <c r="H25" s="942">
        <v>105</v>
      </c>
      <c r="I25" s="942">
        <v>38</v>
      </c>
      <c r="J25" s="942">
        <v>95</v>
      </c>
      <c r="K25" s="942">
        <v>31</v>
      </c>
      <c r="L25" s="942">
        <v>84</v>
      </c>
      <c r="M25" s="942">
        <v>31</v>
      </c>
      <c r="N25" s="942">
        <v>74</v>
      </c>
      <c r="O25" s="942">
        <v>25</v>
      </c>
      <c r="P25" s="942">
        <v>63</v>
      </c>
      <c r="Q25" s="942">
        <v>25</v>
      </c>
      <c r="R25" s="942">
        <v>54</v>
      </c>
      <c r="S25" s="942">
        <v>19</v>
      </c>
      <c r="T25" s="941">
        <v>0</v>
      </c>
      <c r="U25" s="942">
        <v>19</v>
      </c>
      <c r="V25" s="941">
        <v>0</v>
      </c>
      <c r="W25" s="941">
        <v>0</v>
      </c>
      <c r="X25" s="941">
        <v>0</v>
      </c>
      <c r="Y25" s="941">
        <v>0</v>
      </c>
      <c r="Z25" s="941">
        <v>0</v>
      </c>
      <c r="AA25" s="941">
        <v>0</v>
      </c>
      <c r="AB25" s="941">
        <v>0</v>
      </c>
      <c r="AC25" s="941">
        <v>0</v>
      </c>
      <c r="AD25" s="941">
        <v>0</v>
      </c>
      <c r="AE25" s="941">
        <v>0</v>
      </c>
      <c r="AF25" s="941">
        <v>0</v>
      </c>
      <c r="AG25" s="941">
        <v>0</v>
      </c>
      <c r="AH25" s="941">
        <v>0</v>
      </c>
      <c r="AI25" s="941">
        <v>0</v>
      </c>
      <c r="AJ25" s="941">
        <v>0</v>
      </c>
      <c r="AK25" s="941">
        <v>0</v>
      </c>
      <c r="AL25" s="941">
        <v>0</v>
      </c>
      <c r="AM25" s="941">
        <v>0</v>
      </c>
      <c r="AN25" s="941">
        <v>0</v>
      </c>
      <c r="AO25" s="941">
        <v>0</v>
      </c>
      <c r="AP25" s="941">
        <v>0</v>
      </c>
      <c r="AQ25" s="941">
        <v>0</v>
      </c>
      <c r="AR25" s="941">
        <v>0</v>
      </c>
      <c r="AS25" s="941">
        <v>0</v>
      </c>
      <c r="AT25" s="941">
        <v>0</v>
      </c>
      <c r="AU25" s="941">
        <v>0</v>
      </c>
      <c r="AV25" s="941">
        <v>0</v>
      </c>
      <c r="AW25" s="941">
        <v>0</v>
      </c>
      <c r="AX25" s="941">
        <v>0</v>
      </c>
      <c r="AY25" s="941">
        <v>0</v>
      </c>
      <c r="AZ25" s="941">
        <v>0</v>
      </c>
      <c r="BA25" s="941">
        <v>0</v>
      </c>
      <c r="BB25" s="941">
        <v>0</v>
      </c>
      <c r="BC25" s="941">
        <v>0</v>
      </c>
      <c r="BD25" s="941">
        <v>0</v>
      </c>
      <c r="BE25" s="941">
        <v>0</v>
      </c>
      <c r="BF25" s="941">
        <v>0</v>
      </c>
      <c r="BG25" s="941">
        <v>0</v>
      </c>
      <c r="BH25" s="941">
        <v>0</v>
      </c>
      <c r="BI25" s="941">
        <v>0</v>
      </c>
      <c r="BJ25" s="941">
        <v>0</v>
      </c>
      <c r="BK25" s="942">
        <v>101.79</v>
      </c>
      <c r="BL25" s="941">
        <v>0</v>
      </c>
      <c r="BM25" s="942">
        <v>203.66</v>
      </c>
      <c r="BN25" s="941">
        <v>0</v>
      </c>
      <c r="BO25" s="942">
        <v>244.59</v>
      </c>
      <c r="BP25" s="941">
        <v>0</v>
      </c>
      <c r="BQ25" s="942">
        <v>263.20999999999998</v>
      </c>
      <c r="BR25" s="943">
        <v>0</v>
      </c>
      <c r="BS25" s="943">
        <v>279.07</v>
      </c>
      <c r="BT25" s="943">
        <v>0</v>
      </c>
      <c r="BU25" s="943">
        <v>276.66000000000003</v>
      </c>
    </row>
    <row r="26" spans="1:73" ht="20" customHeight="1" x14ac:dyDescent="0.35">
      <c r="A26" s="944" t="s">
        <v>132</v>
      </c>
      <c r="B26" s="943">
        <v>0</v>
      </c>
      <c r="C26" s="943">
        <v>0</v>
      </c>
      <c r="D26" s="943">
        <v>0</v>
      </c>
      <c r="E26" s="943">
        <v>0</v>
      </c>
      <c r="F26" s="943">
        <v>0</v>
      </c>
      <c r="G26" s="943">
        <v>0</v>
      </c>
      <c r="H26" s="943">
        <v>0</v>
      </c>
      <c r="I26" s="943">
        <v>0</v>
      </c>
      <c r="J26" s="943">
        <v>0</v>
      </c>
      <c r="K26" s="943">
        <v>0</v>
      </c>
      <c r="L26" s="943">
        <v>0</v>
      </c>
      <c r="M26" s="943">
        <v>0</v>
      </c>
      <c r="N26" s="943">
        <v>0</v>
      </c>
      <c r="O26" s="943">
        <v>0</v>
      </c>
      <c r="P26" s="943">
        <v>0</v>
      </c>
      <c r="Q26" s="943">
        <v>0</v>
      </c>
      <c r="R26" s="943">
        <v>0</v>
      </c>
      <c r="S26" s="943">
        <v>0</v>
      </c>
      <c r="T26" s="943">
        <v>0</v>
      </c>
      <c r="U26" s="943">
        <v>0</v>
      </c>
      <c r="V26" s="943">
        <v>0</v>
      </c>
      <c r="W26" s="943">
        <v>0</v>
      </c>
      <c r="X26" s="943">
        <v>0</v>
      </c>
      <c r="Y26" s="943">
        <v>0</v>
      </c>
      <c r="Z26" s="943">
        <v>0</v>
      </c>
      <c r="AA26" s="942">
        <v>20</v>
      </c>
      <c r="AB26" s="941">
        <v>0</v>
      </c>
      <c r="AC26" s="942">
        <v>23</v>
      </c>
      <c r="AD26" s="941">
        <v>0</v>
      </c>
      <c r="AE26" s="942">
        <v>20</v>
      </c>
      <c r="AF26" s="941">
        <v>0</v>
      </c>
      <c r="AG26" s="942">
        <v>9.8800000000000008</v>
      </c>
      <c r="AH26" s="941">
        <v>0</v>
      </c>
      <c r="AI26" s="942">
        <v>15.83</v>
      </c>
      <c r="AJ26" s="941">
        <v>0</v>
      </c>
      <c r="AK26" s="942">
        <v>19.690000000000001</v>
      </c>
      <c r="AL26" s="941">
        <v>0</v>
      </c>
      <c r="AM26" s="942">
        <v>18.8</v>
      </c>
      <c r="AN26" s="941">
        <v>0</v>
      </c>
      <c r="AO26" s="942">
        <v>19.62</v>
      </c>
      <c r="AP26" s="941">
        <v>0</v>
      </c>
      <c r="AQ26" s="942">
        <v>78.599999999999994</v>
      </c>
      <c r="AR26" s="941">
        <v>0</v>
      </c>
      <c r="AS26" s="942">
        <v>119</v>
      </c>
      <c r="AT26" s="941">
        <v>0</v>
      </c>
      <c r="AU26" s="942">
        <v>168.67</v>
      </c>
      <c r="AV26" s="941">
        <v>0</v>
      </c>
      <c r="AW26" s="942">
        <v>169</v>
      </c>
      <c r="AX26" s="941">
        <v>0</v>
      </c>
      <c r="AY26" s="942">
        <v>222.5</v>
      </c>
      <c r="AZ26" s="941">
        <v>0</v>
      </c>
      <c r="BA26" s="942">
        <v>324</v>
      </c>
      <c r="BB26" s="941">
        <v>0</v>
      </c>
      <c r="BC26" s="942">
        <v>341.09</v>
      </c>
      <c r="BD26" s="941">
        <v>0</v>
      </c>
      <c r="BE26" s="942">
        <v>342.3</v>
      </c>
      <c r="BF26" s="941">
        <v>0</v>
      </c>
      <c r="BG26" s="942">
        <v>342.09</v>
      </c>
      <c r="BH26" s="941">
        <v>0</v>
      </c>
      <c r="BI26" s="942">
        <v>340</v>
      </c>
      <c r="BJ26" s="941">
        <v>0</v>
      </c>
      <c r="BK26" s="942">
        <v>342.21</v>
      </c>
      <c r="BL26" s="941">
        <v>0</v>
      </c>
      <c r="BM26" s="942">
        <v>342.2</v>
      </c>
      <c r="BN26" s="941">
        <v>0</v>
      </c>
      <c r="BO26" s="942">
        <v>342.43</v>
      </c>
      <c r="BP26" s="941">
        <v>0</v>
      </c>
      <c r="BQ26" s="942">
        <v>342.35</v>
      </c>
      <c r="BR26" s="943">
        <v>0</v>
      </c>
      <c r="BS26" s="943">
        <v>342.5</v>
      </c>
      <c r="BT26" s="943">
        <v>0</v>
      </c>
      <c r="BU26" s="943">
        <v>342.6</v>
      </c>
    </row>
    <row r="27" spans="1:73" ht="20" customHeight="1" x14ac:dyDescent="0.35">
      <c r="A27" s="944" t="s">
        <v>138</v>
      </c>
      <c r="B27" s="943"/>
      <c r="C27" s="946"/>
      <c r="D27" s="941"/>
      <c r="E27" s="942"/>
      <c r="F27" s="941"/>
      <c r="G27" s="945"/>
      <c r="H27" s="941"/>
      <c r="I27" s="942"/>
      <c r="J27" s="941"/>
      <c r="K27" s="942"/>
      <c r="L27" s="941"/>
      <c r="M27" s="942"/>
      <c r="N27" s="941"/>
      <c r="O27" s="942"/>
      <c r="P27" s="941"/>
      <c r="Q27" s="942"/>
      <c r="R27" s="941"/>
      <c r="S27" s="942"/>
      <c r="T27" s="941"/>
      <c r="U27" s="942"/>
      <c r="V27" s="941"/>
      <c r="W27" s="941"/>
      <c r="X27" s="941"/>
      <c r="Y27" s="941"/>
      <c r="Z27" s="941"/>
      <c r="AA27" s="941"/>
      <c r="AB27" s="941"/>
      <c r="AC27" s="941"/>
      <c r="AD27" s="941"/>
      <c r="AE27" s="941"/>
      <c r="AF27" s="941"/>
      <c r="AG27" s="941"/>
      <c r="AH27" s="941"/>
      <c r="AI27" s="942"/>
      <c r="AJ27" s="941"/>
      <c r="AK27" s="942"/>
      <c r="AL27" s="941"/>
      <c r="AM27" s="942"/>
      <c r="AN27" s="941"/>
      <c r="AO27" s="942"/>
      <c r="AP27" s="941"/>
      <c r="AQ27" s="942"/>
      <c r="AR27" s="941"/>
      <c r="AS27" s="942"/>
      <c r="AT27" s="941"/>
      <c r="AU27" s="942"/>
      <c r="AV27" s="941"/>
      <c r="AW27" s="942"/>
      <c r="AX27" s="941"/>
      <c r="AY27" s="942"/>
      <c r="AZ27" s="941"/>
      <c r="BA27" s="942"/>
      <c r="BB27" s="941"/>
      <c r="BC27" s="942"/>
      <c r="BD27" s="941"/>
      <c r="BE27" s="942"/>
      <c r="BF27" s="941"/>
      <c r="BG27" s="942"/>
      <c r="BH27" s="941">
        <v>0</v>
      </c>
      <c r="BI27" s="941">
        <v>0</v>
      </c>
      <c r="BJ27" s="941">
        <v>0</v>
      </c>
      <c r="BK27" s="941">
        <v>0</v>
      </c>
      <c r="BL27" s="941">
        <v>0</v>
      </c>
      <c r="BM27" s="941">
        <v>0</v>
      </c>
      <c r="BN27" s="941">
        <v>0</v>
      </c>
      <c r="BO27" s="942">
        <v>31.19</v>
      </c>
      <c r="BP27" s="941">
        <v>0</v>
      </c>
      <c r="BQ27" s="942">
        <v>23.03</v>
      </c>
      <c r="BR27" s="943">
        <v>0</v>
      </c>
      <c r="BS27" s="943">
        <v>19.989999999999998</v>
      </c>
      <c r="BT27" s="943">
        <v>0</v>
      </c>
      <c r="BU27" s="943">
        <v>16.95</v>
      </c>
    </row>
    <row r="28" spans="1:73" ht="20" customHeight="1" x14ac:dyDescent="0.35">
      <c r="A28" s="944" t="s">
        <v>130</v>
      </c>
      <c r="B28" s="943">
        <v>0</v>
      </c>
      <c r="C28" s="946">
        <v>14</v>
      </c>
      <c r="D28" s="941">
        <v>0</v>
      </c>
      <c r="E28" s="945">
        <v>24</v>
      </c>
      <c r="F28" s="941">
        <v>0</v>
      </c>
      <c r="G28" s="945">
        <v>15</v>
      </c>
      <c r="H28" s="941">
        <v>0</v>
      </c>
      <c r="I28" s="941">
        <v>0</v>
      </c>
      <c r="J28" s="941">
        <v>0</v>
      </c>
      <c r="K28" s="942">
        <v>33</v>
      </c>
      <c r="L28" s="941">
        <v>0</v>
      </c>
      <c r="M28" s="942">
        <v>54</v>
      </c>
      <c r="N28" s="941">
        <v>0</v>
      </c>
      <c r="O28" s="942">
        <v>142</v>
      </c>
      <c r="P28" s="941">
        <v>0</v>
      </c>
      <c r="Q28" s="942">
        <v>163</v>
      </c>
      <c r="R28" s="941">
        <v>0</v>
      </c>
      <c r="S28" s="942">
        <v>169</v>
      </c>
      <c r="T28" s="941">
        <v>0</v>
      </c>
      <c r="U28" s="942">
        <v>169</v>
      </c>
      <c r="V28" s="941">
        <v>0</v>
      </c>
      <c r="W28" s="942">
        <v>169</v>
      </c>
      <c r="X28" s="941">
        <v>0</v>
      </c>
      <c r="Y28" s="942">
        <v>169</v>
      </c>
      <c r="Z28" s="941">
        <v>0</v>
      </c>
      <c r="AA28" s="942">
        <v>182</v>
      </c>
      <c r="AB28" s="941">
        <v>0</v>
      </c>
      <c r="AC28" s="942">
        <v>180</v>
      </c>
      <c r="AD28" s="941">
        <v>0</v>
      </c>
      <c r="AE28" s="942">
        <v>179</v>
      </c>
      <c r="AF28" s="941">
        <v>0</v>
      </c>
      <c r="AG28" s="942">
        <v>176.89</v>
      </c>
      <c r="AH28" s="941">
        <v>0</v>
      </c>
      <c r="AI28" s="942">
        <v>212.05</v>
      </c>
      <c r="AJ28" s="941">
        <v>0</v>
      </c>
      <c r="AK28" s="942">
        <v>228.7</v>
      </c>
      <c r="AL28" s="941">
        <v>0</v>
      </c>
      <c r="AM28" s="942">
        <v>264.89999999999998</v>
      </c>
      <c r="AN28" s="941">
        <v>0</v>
      </c>
      <c r="AO28" s="942">
        <v>290.43</v>
      </c>
      <c r="AP28" s="941">
        <v>0</v>
      </c>
      <c r="AQ28" s="942">
        <v>287.10000000000002</v>
      </c>
      <c r="AR28" s="941">
        <v>0</v>
      </c>
      <c r="AS28" s="942">
        <v>363</v>
      </c>
      <c r="AT28" s="941">
        <v>0</v>
      </c>
      <c r="AU28" s="942">
        <v>429.5</v>
      </c>
      <c r="AV28" s="941">
        <v>0</v>
      </c>
      <c r="AW28" s="942">
        <v>472.17</v>
      </c>
      <c r="AX28" s="941">
        <v>0</v>
      </c>
      <c r="AY28" s="942">
        <v>465.06</v>
      </c>
      <c r="AZ28" s="941">
        <v>0</v>
      </c>
      <c r="BA28" s="942">
        <v>458</v>
      </c>
      <c r="BB28" s="941">
        <v>0</v>
      </c>
      <c r="BC28" s="942">
        <v>450.7</v>
      </c>
      <c r="BD28" s="941">
        <v>0</v>
      </c>
      <c r="BE28" s="942">
        <v>443.47</v>
      </c>
      <c r="BF28" s="941">
        <v>0</v>
      </c>
      <c r="BG28" s="942">
        <v>361.8</v>
      </c>
      <c r="BH28" s="941">
        <v>0</v>
      </c>
      <c r="BI28" s="942">
        <v>355</v>
      </c>
      <c r="BJ28" s="941">
        <v>0</v>
      </c>
      <c r="BK28" s="942">
        <v>348.67</v>
      </c>
      <c r="BL28" s="941">
        <v>0</v>
      </c>
      <c r="BM28" s="942">
        <v>341.92</v>
      </c>
      <c r="BN28" s="941">
        <v>0</v>
      </c>
      <c r="BO28" s="942">
        <v>258.83</v>
      </c>
      <c r="BP28" s="941">
        <v>0</v>
      </c>
      <c r="BQ28" s="942">
        <v>253.08</v>
      </c>
      <c r="BR28" s="943">
        <v>0</v>
      </c>
      <c r="BS28" s="943">
        <v>247.29</v>
      </c>
      <c r="BT28" s="943">
        <v>0</v>
      </c>
      <c r="BU28" s="943">
        <v>241.43</v>
      </c>
    </row>
    <row r="29" spans="1:73" ht="20" customHeight="1" x14ac:dyDescent="0.35">
      <c r="A29" s="944" t="s">
        <v>129</v>
      </c>
      <c r="B29" s="943"/>
      <c r="C29" s="946"/>
      <c r="D29" s="941"/>
      <c r="E29" s="945"/>
      <c r="F29" s="941"/>
      <c r="G29" s="945"/>
      <c r="H29" s="941"/>
      <c r="I29" s="941"/>
      <c r="J29" s="941"/>
      <c r="K29" s="942"/>
      <c r="L29" s="941"/>
      <c r="M29" s="942"/>
      <c r="N29" s="941"/>
      <c r="O29" s="942"/>
      <c r="P29" s="941"/>
      <c r="Q29" s="942"/>
      <c r="R29" s="941"/>
      <c r="S29" s="942"/>
      <c r="T29" s="941"/>
      <c r="U29" s="942"/>
      <c r="V29" s="941"/>
      <c r="W29" s="942"/>
      <c r="X29" s="941"/>
      <c r="Y29" s="942"/>
      <c r="Z29" s="941"/>
      <c r="AA29" s="942"/>
      <c r="AB29" s="941"/>
      <c r="AC29" s="942"/>
      <c r="AD29" s="941"/>
      <c r="AE29" s="942"/>
      <c r="AF29" s="941"/>
      <c r="AG29" s="942"/>
      <c r="AH29" s="941"/>
      <c r="AI29" s="942"/>
      <c r="AJ29" s="941"/>
      <c r="AK29" s="942"/>
      <c r="AL29" s="941"/>
      <c r="AM29" s="942"/>
      <c r="AN29" s="941"/>
      <c r="AO29" s="942"/>
      <c r="AP29" s="941"/>
      <c r="AQ29" s="942"/>
      <c r="AR29" s="941"/>
      <c r="AS29" s="942"/>
      <c r="AT29" s="941"/>
      <c r="AU29" s="942"/>
      <c r="AV29" s="941"/>
      <c r="AW29" s="942"/>
      <c r="AX29" s="941"/>
      <c r="AY29" s="942"/>
      <c r="AZ29" s="941"/>
      <c r="BA29" s="942"/>
      <c r="BB29" s="941"/>
      <c r="BC29" s="942"/>
      <c r="BD29" s="941"/>
      <c r="BE29" s="942"/>
      <c r="BF29" s="941"/>
      <c r="BG29" s="942"/>
      <c r="BH29" s="941">
        <v>0</v>
      </c>
      <c r="BI29" s="941">
        <v>0</v>
      </c>
      <c r="BJ29" s="941">
        <v>0</v>
      </c>
      <c r="BK29" s="941">
        <v>0</v>
      </c>
      <c r="BL29" s="941">
        <v>0</v>
      </c>
      <c r="BM29" s="941">
        <v>0</v>
      </c>
      <c r="BN29" s="941">
        <v>0</v>
      </c>
      <c r="BO29" s="942">
        <v>166.64</v>
      </c>
      <c r="BP29" s="941">
        <v>0</v>
      </c>
      <c r="BQ29" s="942">
        <v>345.99</v>
      </c>
      <c r="BR29" s="943">
        <v>0</v>
      </c>
      <c r="BS29" s="943">
        <v>337.35</v>
      </c>
      <c r="BT29" s="943">
        <v>0</v>
      </c>
      <c r="BU29" s="943">
        <v>328.7</v>
      </c>
    </row>
    <row r="30" spans="1:73" ht="20" hidden="1" customHeight="1" x14ac:dyDescent="0.35">
      <c r="A30" s="944" t="s">
        <v>128</v>
      </c>
      <c r="B30" s="943">
        <v>0</v>
      </c>
      <c r="C30" s="943">
        <v>0</v>
      </c>
      <c r="D30" s="943">
        <v>0</v>
      </c>
      <c r="E30" s="943">
        <v>0</v>
      </c>
      <c r="F30" s="943">
        <v>0</v>
      </c>
      <c r="G30" s="943">
        <v>0</v>
      </c>
      <c r="H30" s="943">
        <v>0</v>
      </c>
      <c r="I30" s="943">
        <v>0</v>
      </c>
      <c r="J30" s="943">
        <v>0</v>
      </c>
      <c r="K30" s="943">
        <v>0</v>
      </c>
      <c r="L30" s="943">
        <v>0</v>
      </c>
      <c r="M30" s="943">
        <v>0</v>
      </c>
      <c r="N30" s="943">
        <v>0</v>
      </c>
      <c r="O30" s="943">
        <v>0</v>
      </c>
      <c r="P30" s="943">
        <v>0</v>
      </c>
      <c r="Q30" s="943">
        <v>0</v>
      </c>
      <c r="R30" s="943">
        <v>0</v>
      </c>
      <c r="S30" s="943">
        <v>0</v>
      </c>
      <c r="T30" s="943">
        <v>0</v>
      </c>
      <c r="U30" s="943">
        <v>0</v>
      </c>
      <c r="V30" s="943">
        <v>0</v>
      </c>
      <c r="W30" s="943">
        <v>0</v>
      </c>
      <c r="X30" s="943">
        <v>0</v>
      </c>
      <c r="Y30" s="943">
        <v>0</v>
      </c>
      <c r="Z30" s="943">
        <v>0</v>
      </c>
      <c r="AA30" s="942">
        <v>20</v>
      </c>
      <c r="AB30" s="941">
        <v>0</v>
      </c>
      <c r="AC30" s="942">
        <v>20</v>
      </c>
      <c r="AD30" s="941">
        <v>0</v>
      </c>
      <c r="AE30" s="942">
        <v>59</v>
      </c>
      <c r="AF30" s="941">
        <v>0</v>
      </c>
      <c r="AG30" s="942">
        <v>49.72</v>
      </c>
      <c r="AH30" s="941">
        <v>0</v>
      </c>
      <c r="AI30" s="942">
        <v>53.55</v>
      </c>
      <c r="AJ30" s="941">
        <v>0</v>
      </c>
      <c r="AK30" s="942">
        <v>53.55</v>
      </c>
      <c r="AL30" s="941">
        <v>0</v>
      </c>
      <c r="AM30" s="942">
        <v>57.8</v>
      </c>
      <c r="AN30" s="941">
        <v>0</v>
      </c>
      <c r="AO30" s="942">
        <v>59.44</v>
      </c>
      <c r="AP30" s="941">
        <v>0</v>
      </c>
      <c r="AQ30" s="942">
        <v>58.96</v>
      </c>
      <c r="AR30" s="941">
        <v>0</v>
      </c>
      <c r="AS30" s="942">
        <v>58</v>
      </c>
      <c r="AT30" s="941">
        <v>0</v>
      </c>
      <c r="AU30" s="942">
        <v>57.7</v>
      </c>
      <c r="AV30" s="941">
        <v>0</v>
      </c>
      <c r="AW30" s="942">
        <v>47.88</v>
      </c>
      <c r="AX30" s="941">
        <v>0</v>
      </c>
      <c r="AY30" s="942">
        <v>47.81</v>
      </c>
      <c r="AZ30" s="941">
        <v>0</v>
      </c>
      <c r="BA30" s="942">
        <v>47</v>
      </c>
      <c r="BB30" s="941">
        <v>0</v>
      </c>
      <c r="BC30" s="941">
        <v>0</v>
      </c>
      <c r="BD30" s="941">
        <v>0</v>
      </c>
      <c r="BE30" s="941">
        <v>0</v>
      </c>
      <c r="BF30" s="941">
        <v>0</v>
      </c>
      <c r="BG30" s="941">
        <v>0</v>
      </c>
      <c r="BH30" s="941">
        <v>0</v>
      </c>
      <c r="BI30" s="941">
        <v>0</v>
      </c>
      <c r="BJ30" s="941">
        <v>0</v>
      </c>
      <c r="BK30" s="941">
        <v>0</v>
      </c>
      <c r="BL30" s="941">
        <v>0</v>
      </c>
      <c r="BM30" s="941">
        <v>0</v>
      </c>
      <c r="BN30" s="941">
        <v>0</v>
      </c>
      <c r="BO30" s="941">
        <v>0</v>
      </c>
      <c r="BP30" s="941">
        <v>0</v>
      </c>
      <c r="BQ30" s="941">
        <v>0</v>
      </c>
      <c r="BR30" s="943">
        <v>0</v>
      </c>
      <c r="BS30" s="943">
        <v>0</v>
      </c>
      <c r="BT30" s="943">
        <v>0</v>
      </c>
      <c r="BU30" s="943">
        <v>0</v>
      </c>
    </row>
    <row r="31" spans="1:73" ht="20" customHeight="1" x14ac:dyDescent="0.35">
      <c r="A31" s="944" t="s">
        <v>124</v>
      </c>
      <c r="B31" s="943">
        <v>0</v>
      </c>
      <c r="C31" s="946">
        <v>152</v>
      </c>
      <c r="D31" s="941">
        <v>0</v>
      </c>
      <c r="E31" s="945">
        <v>110</v>
      </c>
      <c r="F31" s="941">
        <v>0</v>
      </c>
      <c r="G31" s="942">
        <v>110</v>
      </c>
      <c r="H31" s="941">
        <v>0</v>
      </c>
      <c r="I31" s="942">
        <v>110</v>
      </c>
      <c r="J31" s="941">
        <v>0</v>
      </c>
      <c r="K31" s="942">
        <v>109</v>
      </c>
      <c r="L31" s="941">
        <v>0</v>
      </c>
      <c r="M31" s="942">
        <v>106</v>
      </c>
      <c r="N31" s="941">
        <v>0</v>
      </c>
      <c r="O31" s="942">
        <v>104</v>
      </c>
      <c r="P31" s="941">
        <v>0</v>
      </c>
      <c r="Q31" s="942">
        <v>101</v>
      </c>
      <c r="R31" s="941">
        <v>0</v>
      </c>
      <c r="S31" s="942">
        <v>98</v>
      </c>
      <c r="T31" s="941">
        <v>0</v>
      </c>
      <c r="U31" s="942">
        <v>95</v>
      </c>
      <c r="V31" s="941">
        <v>0</v>
      </c>
      <c r="W31" s="942">
        <v>92</v>
      </c>
      <c r="X31" s="941">
        <v>0</v>
      </c>
      <c r="Y31" s="942">
        <v>90</v>
      </c>
      <c r="Z31" s="941">
        <v>0</v>
      </c>
      <c r="AA31" s="942">
        <v>87</v>
      </c>
      <c r="AB31" s="941">
        <v>0</v>
      </c>
      <c r="AC31" s="942">
        <v>84</v>
      </c>
      <c r="AD31" s="941">
        <v>0</v>
      </c>
      <c r="AE31" s="942">
        <v>82</v>
      </c>
      <c r="AF31" s="941">
        <v>0</v>
      </c>
      <c r="AG31" s="942">
        <v>78.83</v>
      </c>
      <c r="AH31" s="941">
        <v>0</v>
      </c>
      <c r="AI31" s="942">
        <v>76.08</v>
      </c>
      <c r="AJ31" s="941">
        <v>0</v>
      </c>
      <c r="AK31" s="942">
        <v>74.25</v>
      </c>
      <c r="AL31" s="941">
        <v>0</v>
      </c>
      <c r="AM31" s="942">
        <v>70.599999999999994</v>
      </c>
      <c r="AN31" s="941">
        <v>0</v>
      </c>
      <c r="AO31" s="942">
        <v>67.83</v>
      </c>
      <c r="AP31" s="941">
        <v>0</v>
      </c>
      <c r="AQ31" s="942">
        <v>65.082999999999998</v>
      </c>
      <c r="AR31" s="941">
        <v>0</v>
      </c>
      <c r="AS31" s="942">
        <v>62</v>
      </c>
      <c r="AT31" s="941">
        <v>0</v>
      </c>
      <c r="AU31" s="942">
        <v>59.58</v>
      </c>
      <c r="AV31" s="941">
        <v>0</v>
      </c>
      <c r="AW31" s="942">
        <v>59.58</v>
      </c>
      <c r="AX31" s="941">
        <v>0</v>
      </c>
      <c r="AY31" s="942">
        <v>54.08</v>
      </c>
      <c r="AZ31" s="941">
        <v>0</v>
      </c>
      <c r="BA31" s="942">
        <v>51</v>
      </c>
      <c r="BB31" s="941">
        <v>0</v>
      </c>
      <c r="BC31" s="942">
        <v>48.6</v>
      </c>
      <c r="BD31" s="941">
        <v>0</v>
      </c>
      <c r="BE31" s="942">
        <v>45.83</v>
      </c>
      <c r="BF31" s="941">
        <v>0</v>
      </c>
      <c r="BG31" s="942">
        <v>43.082999999999998</v>
      </c>
      <c r="BH31" s="941">
        <v>0</v>
      </c>
      <c r="BI31" s="942">
        <v>40</v>
      </c>
      <c r="BJ31" s="941">
        <v>0</v>
      </c>
      <c r="BK31" s="942">
        <v>37.58</v>
      </c>
      <c r="BL31" s="941">
        <v>0</v>
      </c>
      <c r="BM31" s="942">
        <v>34.83</v>
      </c>
      <c r="BN31" s="941">
        <v>0</v>
      </c>
      <c r="BO31" s="942">
        <v>32.08</v>
      </c>
      <c r="BP31" s="941">
        <v>0</v>
      </c>
      <c r="BQ31" s="942">
        <v>29</v>
      </c>
      <c r="BR31" s="943">
        <v>0</v>
      </c>
      <c r="BS31" s="943">
        <v>26.58</v>
      </c>
      <c r="BT31" s="943">
        <v>0</v>
      </c>
      <c r="BU31" s="943">
        <v>23.83</v>
      </c>
    </row>
    <row r="32" spans="1:73" s="1117" customFormat="1" ht="20" customHeight="1" x14ac:dyDescent="0.35">
      <c r="A32" s="944" t="s">
        <v>122</v>
      </c>
      <c r="B32" s="943">
        <v>0</v>
      </c>
      <c r="C32" s="943">
        <v>0</v>
      </c>
      <c r="D32" s="941">
        <v>0</v>
      </c>
      <c r="E32" s="941">
        <v>0</v>
      </c>
      <c r="F32" s="941">
        <v>0</v>
      </c>
      <c r="G32" s="941">
        <v>0</v>
      </c>
      <c r="H32" s="941">
        <v>0</v>
      </c>
      <c r="I32" s="941">
        <v>0</v>
      </c>
      <c r="J32" s="941">
        <v>0</v>
      </c>
      <c r="K32" s="941">
        <v>0</v>
      </c>
      <c r="L32" s="941">
        <v>0</v>
      </c>
      <c r="M32" s="942">
        <v>61</v>
      </c>
      <c r="N32" s="941">
        <v>0</v>
      </c>
      <c r="O32" s="941">
        <v>0</v>
      </c>
      <c r="P32" s="941">
        <v>0</v>
      </c>
      <c r="Q32" s="942">
        <v>78</v>
      </c>
      <c r="R32" s="941">
        <v>0</v>
      </c>
      <c r="S32" s="942">
        <v>30</v>
      </c>
      <c r="T32" s="941">
        <v>0</v>
      </c>
      <c r="U32" s="942">
        <v>82</v>
      </c>
      <c r="V32" s="941">
        <v>0</v>
      </c>
      <c r="W32" s="941">
        <v>0</v>
      </c>
      <c r="X32" s="941">
        <v>0</v>
      </c>
      <c r="Y32" s="943">
        <v>66</v>
      </c>
      <c r="Z32" s="941">
        <v>0</v>
      </c>
      <c r="AA32" s="943">
        <v>0</v>
      </c>
      <c r="AB32" s="941">
        <v>0</v>
      </c>
      <c r="AC32" s="943">
        <v>0</v>
      </c>
      <c r="AD32" s="941">
        <v>0</v>
      </c>
      <c r="AE32" s="943">
        <v>0</v>
      </c>
      <c r="AF32" s="941">
        <v>0</v>
      </c>
      <c r="AG32" s="943">
        <v>0</v>
      </c>
      <c r="AH32" s="941">
        <v>0</v>
      </c>
      <c r="AI32" s="943">
        <v>0</v>
      </c>
      <c r="AJ32" s="941">
        <v>0</v>
      </c>
      <c r="AK32" s="943">
        <v>0</v>
      </c>
      <c r="AL32" s="941">
        <v>0</v>
      </c>
      <c r="AM32" s="943">
        <v>0</v>
      </c>
      <c r="AN32" s="941">
        <v>0</v>
      </c>
      <c r="AO32" s="943">
        <v>0</v>
      </c>
      <c r="AP32" s="941">
        <v>0</v>
      </c>
      <c r="AQ32" s="943">
        <v>0</v>
      </c>
      <c r="AR32" s="941">
        <v>0</v>
      </c>
      <c r="AS32" s="943">
        <v>0</v>
      </c>
      <c r="AT32" s="941">
        <v>0</v>
      </c>
      <c r="AU32" s="943">
        <v>0</v>
      </c>
      <c r="AV32" s="941">
        <v>0</v>
      </c>
      <c r="AW32" s="943">
        <v>0</v>
      </c>
      <c r="AX32" s="941">
        <v>0</v>
      </c>
      <c r="AY32" s="943">
        <v>0</v>
      </c>
      <c r="AZ32" s="941">
        <v>0</v>
      </c>
      <c r="BA32" s="943">
        <v>0</v>
      </c>
      <c r="BB32" s="941">
        <v>0</v>
      </c>
      <c r="BC32" s="943">
        <v>0</v>
      </c>
      <c r="BD32" s="941">
        <v>0</v>
      </c>
      <c r="BE32" s="943">
        <v>0</v>
      </c>
      <c r="BF32" s="941">
        <v>0</v>
      </c>
      <c r="BG32" s="943">
        <v>0</v>
      </c>
      <c r="BH32" s="941">
        <v>0</v>
      </c>
      <c r="BI32" s="943">
        <v>0</v>
      </c>
      <c r="BJ32" s="941">
        <v>0</v>
      </c>
      <c r="BK32" s="943">
        <v>0</v>
      </c>
      <c r="BL32" s="941">
        <v>0</v>
      </c>
      <c r="BM32" s="943">
        <v>0</v>
      </c>
      <c r="BN32" s="941">
        <v>0</v>
      </c>
      <c r="BO32" s="943">
        <v>0</v>
      </c>
      <c r="BP32" s="941">
        <v>0</v>
      </c>
      <c r="BQ32" s="943">
        <v>0</v>
      </c>
      <c r="BR32" s="943">
        <v>0</v>
      </c>
      <c r="BS32" s="943">
        <v>158.66999999999999</v>
      </c>
      <c r="BT32" s="943">
        <v>0</v>
      </c>
      <c r="BU32" s="943">
        <v>175</v>
      </c>
    </row>
    <row r="33" spans="1:73" ht="20" customHeight="1" x14ac:dyDescent="0.35">
      <c r="A33" s="944" t="s">
        <v>120</v>
      </c>
      <c r="B33" s="943">
        <v>191</v>
      </c>
      <c r="C33" s="946">
        <v>6</v>
      </c>
      <c r="D33" s="942">
        <v>182</v>
      </c>
      <c r="E33" s="945">
        <v>6</v>
      </c>
      <c r="F33" s="942">
        <v>179</v>
      </c>
      <c r="G33" s="942">
        <v>6</v>
      </c>
      <c r="H33" s="942">
        <v>170</v>
      </c>
      <c r="I33" s="942">
        <v>6</v>
      </c>
      <c r="J33" s="942">
        <v>166</v>
      </c>
      <c r="K33" s="942">
        <v>5.6168399999999998</v>
      </c>
      <c r="L33" s="942">
        <v>163</v>
      </c>
      <c r="M33" s="942">
        <v>6</v>
      </c>
      <c r="N33" s="942">
        <v>404</v>
      </c>
      <c r="O33" s="942">
        <v>6</v>
      </c>
      <c r="P33" s="942">
        <v>401</v>
      </c>
      <c r="Q33" s="942">
        <v>6</v>
      </c>
      <c r="R33" s="942">
        <v>546</v>
      </c>
      <c r="S33" s="942">
        <v>6</v>
      </c>
      <c r="T33" s="942">
        <v>538</v>
      </c>
      <c r="U33" s="942">
        <v>6</v>
      </c>
      <c r="V33" s="942">
        <v>537</v>
      </c>
      <c r="W33" s="942">
        <v>6</v>
      </c>
      <c r="X33" s="942">
        <v>584</v>
      </c>
      <c r="Y33" s="942">
        <v>6</v>
      </c>
      <c r="Z33" s="942">
        <v>579</v>
      </c>
      <c r="AA33" s="942">
        <v>6</v>
      </c>
      <c r="AB33" s="942">
        <v>571</v>
      </c>
      <c r="AC33" s="942">
        <v>6</v>
      </c>
      <c r="AD33" s="942">
        <v>621</v>
      </c>
      <c r="AE33" s="942">
        <v>6</v>
      </c>
      <c r="AF33" s="942">
        <v>612.71</v>
      </c>
      <c r="AG33" s="942">
        <v>5.62</v>
      </c>
      <c r="AH33" s="942">
        <v>605.07000000000005</v>
      </c>
      <c r="AI33" s="942">
        <v>5.62</v>
      </c>
      <c r="AJ33" s="942">
        <v>596.76</v>
      </c>
      <c r="AK33" s="942">
        <v>5.62</v>
      </c>
      <c r="AL33" s="942">
        <v>589.1</v>
      </c>
      <c r="AM33" s="942">
        <v>5.62</v>
      </c>
      <c r="AN33" s="942">
        <v>680.82</v>
      </c>
      <c r="AO33" s="942">
        <v>5.62</v>
      </c>
      <c r="AP33" s="942">
        <v>670.4</v>
      </c>
      <c r="AQ33" s="942">
        <v>5.62</v>
      </c>
      <c r="AR33" s="942">
        <v>747</v>
      </c>
      <c r="AS33" s="942">
        <v>5.62</v>
      </c>
      <c r="AT33" s="942">
        <v>898.01</v>
      </c>
      <c r="AU33" s="942">
        <v>5.62</v>
      </c>
      <c r="AV33" s="942">
        <v>989.58</v>
      </c>
      <c r="AW33" s="942">
        <v>5.62</v>
      </c>
      <c r="AX33" s="942">
        <v>1033.3800000000001</v>
      </c>
      <c r="AY33" s="942">
        <v>5.62</v>
      </c>
      <c r="AZ33" s="942">
        <v>1080</v>
      </c>
      <c r="BA33" s="942">
        <v>5.62</v>
      </c>
      <c r="BB33" s="942">
        <v>1188.83</v>
      </c>
      <c r="BC33" s="942">
        <v>5.62</v>
      </c>
      <c r="BD33" s="942">
        <v>1223.76</v>
      </c>
      <c r="BE33" s="942">
        <v>5.62</v>
      </c>
      <c r="BF33" s="942">
        <v>1300.5999999999999</v>
      </c>
      <c r="BG33" s="942">
        <v>5.62</v>
      </c>
      <c r="BH33" s="942">
        <v>1285.5</v>
      </c>
      <c r="BI33" s="942">
        <v>5.62</v>
      </c>
      <c r="BJ33" s="942">
        <v>1279.04</v>
      </c>
      <c r="BK33" s="942">
        <v>5.62</v>
      </c>
      <c r="BL33" s="942">
        <v>1263.96</v>
      </c>
      <c r="BM33" s="942">
        <v>5.62</v>
      </c>
      <c r="BN33" s="942">
        <v>1257</v>
      </c>
      <c r="BO33" s="942">
        <v>5.62</v>
      </c>
      <c r="BP33" s="942">
        <v>1242.3599999999999</v>
      </c>
      <c r="BQ33" s="942">
        <v>5.62</v>
      </c>
      <c r="BR33" s="943">
        <v>1235.07</v>
      </c>
      <c r="BS33" s="943">
        <v>0</v>
      </c>
      <c r="BT33" s="943">
        <v>1219.99</v>
      </c>
      <c r="BU33" s="943">
        <v>0</v>
      </c>
    </row>
    <row r="34" spans="1:73" ht="20" hidden="1" customHeight="1" x14ac:dyDescent="0.35">
      <c r="A34" s="944" t="s">
        <v>118</v>
      </c>
      <c r="B34" s="943">
        <v>49</v>
      </c>
      <c r="C34" s="946">
        <v>158</v>
      </c>
      <c r="D34" s="942">
        <v>42</v>
      </c>
      <c r="E34" s="945">
        <v>148</v>
      </c>
      <c r="F34" s="942">
        <v>34</v>
      </c>
      <c r="G34" s="942">
        <v>137</v>
      </c>
      <c r="H34" s="942">
        <v>26</v>
      </c>
      <c r="I34" s="942">
        <v>127</v>
      </c>
      <c r="J34" s="942">
        <v>19</v>
      </c>
      <c r="K34" s="942">
        <v>117</v>
      </c>
      <c r="L34" s="942">
        <v>13</v>
      </c>
      <c r="M34" s="942">
        <v>106</v>
      </c>
      <c r="N34" s="942">
        <v>9</v>
      </c>
      <c r="O34" s="942">
        <v>96</v>
      </c>
      <c r="P34" s="942">
        <v>6</v>
      </c>
      <c r="Q34" s="942">
        <v>86</v>
      </c>
      <c r="R34" s="942">
        <v>3</v>
      </c>
      <c r="S34" s="942">
        <v>75</v>
      </c>
      <c r="T34" s="941">
        <v>0</v>
      </c>
      <c r="U34" s="942">
        <v>69</v>
      </c>
      <c r="V34" s="941">
        <v>0</v>
      </c>
      <c r="W34" s="942">
        <v>62</v>
      </c>
      <c r="X34" s="941">
        <v>0</v>
      </c>
      <c r="Y34" s="942">
        <v>55</v>
      </c>
      <c r="Z34" s="941">
        <v>0</v>
      </c>
      <c r="AA34" s="942">
        <v>49</v>
      </c>
      <c r="AB34" s="941">
        <v>0</v>
      </c>
      <c r="AC34" s="942">
        <v>42</v>
      </c>
      <c r="AD34" s="941">
        <v>0</v>
      </c>
      <c r="AE34" s="942">
        <v>35</v>
      </c>
      <c r="AF34" s="941">
        <v>0</v>
      </c>
      <c r="AG34" s="942">
        <v>28.85</v>
      </c>
      <c r="AH34" s="941">
        <v>0</v>
      </c>
      <c r="AI34" s="942">
        <v>22.19</v>
      </c>
      <c r="AJ34" s="941">
        <v>0</v>
      </c>
      <c r="AK34" s="942">
        <v>17.75</v>
      </c>
      <c r="AL34" s="941">
        <v>0</v>
      </c>
      <c r="AM34" s="942">
        <v>8.9</v>
      </c>
      <c r="AN34" s="941">
        <v>0</v>
      </c>
      <c r="AO34" s="942">
        <v>2.2200000000000002</v>
      </c>
      <c r="AP34" s="941">
        <v>0</v>
      </c>
      <c r="AQ34" s="941">
        <v>0</v>
      </c>
      <c r="AR34" s="941">
        <v>0</v>
      </c>
      <c r="AS34" s="942">
        <v>0</v>
      </c>
      <c r="AT34" s="941">
        <v>0</v>
      </c>
      <c r="AU34" s="942">
        <v>0</v>
      </c>
      <c r="AV34" s="941">
        <v>0</v>
      </c>
      <c r="AW34" s="942">
        <v>0</v>
      </c>
      <c r="AX34" s="941">
        <v>0</v>
      </c>
      <c r="AY34" s="941">
        <v>0</v>
      </c>
      <c r="AZ34" s="941">
        <v>0</v>
      </c>
      <c r="BA34" s="941">
        <v>0</v>
      </c>
      <c r="BB34" s="941">
        <v>0</v>
      </c>
      <c r="BC34" s="941">
        <v>0</v>
      </c>
      <c r="BD34" s="941">
        <v>0</v>
      </c>
      <c r="BE34" s="941">
        <v>0</v>
      </c>
      <c r="BF34" s="941">
        <v>0</v>
      </c>
      <c r="BG34" s="941">
        <v>0</v>
      </c>
      <c r="BH34" s="941">
        <v>0</v>
      </c>
      <c r="BI34" s="941">
        <v>0</v>
      </c>
      <c r="BJ34" s="941">
        <v>0</v>
      </c>
      <c r="BK34" s="941">
        <v>0</v>
      </c>
      <c r="BL34" s="941">
        <v>0</v>
      </c>
      <c r="BM34" s="941">
        <v>0</v>
      </c>
      <c r="BN34" s="941">
        <v>0</v>
      </c>
      <c r="BO34" s="941">
        <v>0</v>
      </c>
      <c r="BP34" s="941">
        <v>0</v>
      </c>
      <c r="BQ34" s="941">
        <v>0</v>
      </c>
      <c r="BR34" s="943">
        <v>0</v>
      </c>
      <c r="BS34" s="943">
        <v>0</v>
      </c>
      <c r="BT34" s="943">
        <v>0</v>
      </c>
      <c r="BU34" s="943">
        <v>0</v>
      </c>
    </row>
    <row r="35" spans="1:73" ht="20" customHeight="1" x14ac:dyDescent="0.35">
      <c r="A35" s="944" t="s">
        <v>117</v>
      </c>
      <c r="B35" s="943">
        <v>0</v>
      </c>
      <c r="C35" s="946">
        <v>79</v>
      </c>
      <c r="D35" s="941">
        <v>0</v>
      </c>
      <c r="E35" s="945">
        <v>80</v>
      </c>
      <c r="F35" s="941">
        <v>0</v>
      </c>
      <c r="G35" s="942">
        <v>81</v>
      </c>
      <c r="H35" s="941">
        <v>0</v>
      </c>
      <c r="I35" s="942">
        <v>70</v>
      </c>
      <c r="J35" s="941">
        <v>0</v>
      </c>
      <c r="K35" s="942">
        <v>53</v>
      </c>
      <c r="L35" s="941">
        <v>0</v>
      </c>
      <c r="M35" s="942">
        <v>45</v>
      </c>
      <c r="N35" s="941">
        <v>0</v>
      </c>
      <c r="O35" s="942">
        <v>30</v>
      </c>
      <c r="P35" s="941">
        <v>0</v>
      </c>
      <c r="Q35" s="942">
        <v>11</v>
      </c>
      <c r="R35" s="941">
        <v>0</v>
      </c>
      <c r="S35" s="942">
        <v>6</v>
      </c>
      <c r="T35" s="941">
        <v>0</v>
      </c>
      <c r="U35" s="942">
        <v>29</v>
      </c>
      <c r="V35" s="941">
        <v>0</v>
      </c>
      <c r="W35" s="942">
        <v>44</v>
      </c>
      <c r="X35" s="941">
        <v>0</v>
      </c>
      <c r="Y35" s="942">
        <v>55</v>
      </c>
      <c r="Z35" s="941">
        <v>0</v>
      </c>
      <c r="AA35" s="942">
        <v>62</v>
      </c>
      <c r="AB35" s="941">
        <v>0</v>
      </c>
      <c r="AC35" s="942">
        <v>67</v>
      </c>
      <c r="AD35" s="941">
        <v>0</v>
      </c>
      <c r="AE35" s="942">
        <v>84</v>
      </c>
      <c r="AF35" s="941">
        <v>0</v>
      </c>
      <c r="AG35" s="942">
        <v>93.47</v>
      </c>
      <c r="AH35" s="941">
        <v>0</v>
      </c>
      <c r="AI35" s="942">
        <v>94.08</v>
      </c>
      <c r="AJ35" s="941">
        <v>0</v>
      </c>
      <c r="AK35" s="942">
        <v>83.53</v>
      </c>
      <c r="AL35" s="941">
        <v>0</v>
      </c>
      <c r="AM35" s="942">
        <v>105.1</v>
      </c>
      <c r="AN35" s="941">
        <v>0</v>
      </c>
      <c r="AO35" s="942">
        <v>109.2</v>
      </c>
      <c r="AP35" s="941">
        <v>0</v>
      </c>
      <c r="AQ35" s="942">
        <v>110.18</v>
      </c>
      <c r="AR35" s="941">
        <v>0</v>
      </c>
      <c r="AS35" s="942">
        <v>87</v>
      </c>
      <c r="AT35" s="941">
        <v>0</v>
      </c>
      <c r="AU35" s="942">
        <v>113.05</v>
      </c>
      <c r="AV35" s="941">
        <v>0</v>
      </c>
      <c r="AW35" s="942">
        <v>88.26</v>
      </c>
      <c r="AX35" s="941">
        <v>0</v>
      </c>
      <c r="AY35" s="942">
        <v>22.5</v>
      </c>
      <c r="AZ35" s="941">
        <v>0</v>
      </c>
      <c r="BA35" s="942">
        <v>21.8</v>
      </c>
      <c r="BB35" s="941">
        <v>0</v>
      </c>
      <c r="BC35" s="942">
        <v>25.1</v>
      </c>
      <c r="BD35" s="941">
        <v>0</v>
      </c>
      <c r="BE35" s="942">
        <v>23.4</v>
      </c>
      <c r="BF35" s="941">
        <v>0</v>
      </c>
      <c r="BG35" s="942">
        <v>54.3</v>
      </c>
      <c r="BH35" s="941">
        <v>0</v>
      </c>
      <c r="BI35" s="942">
        <v>54.3</v>
      </c>
      <c r="BJ35" s="941">
        <v>0</v>
      </c>
      <c r="BK35" s="942">
        <v>44.57</v>
      </c>
      <c r="BL35" s="941">
        <v>0</v>
      </c>
      <c r="BM35" s="942">
        <v>37.270000000000003</v>
      </c>
      <c r="BN35" s="941">
        <v>0</v>
      </c>
      <c r="BO35" s="942">
        <v>26.62</v>
      </c>
      <c r="BP35" s="941">
        <v>0</v>
      </c>
      <c r="BQ35" s="942">
        <v>23.16</v>
      </c>
      <c r="BR35" s="943">
        <v>0</v>
      </c>
      <c r="BS35" s="943">
        <v>0</v>
      </c>
      <c r="BT35" s="943">
        <v>0</v>
      </c>
      <c r="BU35" s="943">
        <v>0</v>
      </c>
    </row>
    <row r="36" spans="1:73" ht="20" customHeight="1" x14ac:dyDescent="0.35">
      <c r="A36" s="944" t="s">
        <v>114</v>
      </c>
      <c r="B36" s="943">
        <v>0</v>
      </c>
      <c r="C36" s="946">
        <v>1576</v>
      </c>
      <c r="D36" s="941">
        <v>0</v>
      </c>
      <c r="E36" s="945">
        <v>1685</v>
      </c>
      <c r="F36" s="941">
        <v>0</v>
      </c>
      <c r="G36" s="945">
        <v>1059</v>
      </c>
      <c r="H36" s="941">
        <v>0</v>
      </c>
      <c r="I36" s="942">
        <v>1680</v>
      </c>
      <c r="J36" s="941">
        <v>0</v>
      </c>
      <c r="K36" s="942">
        <v>798</v>
      </c>
      <c r="L36" s="941">
        <v>0</v>
      </c>
      <c r="M36" s="942">
        <v>1110</v>
      </c>
      <c r="N36" s="941">
        <v>0</v>
      </c>
      <c r="O36" s="942">
        <v>2662</v>
      </c>
      <c r="P36" s="941">
        <v>0</v>
      </c>
      <c r="Q36" s="942">
        <v>1517</v>
      </c>
      <c r="R36" s="941">
        <v>0</v>
      </c>
      <c r="S36" s="941">
        <v>0</v>
      </c>
      <c r="T36" s="941">
        <v>0</v>
      </c>
      <c r="U36" s="942">
        <v>874</v>
      </c>
      <c r="V36" s="941">
        <v>0</v>
      </c>
      <c r="W36" s="941">
        <v>0</v>
      </c>
      <c r="X36" s="941">
        <v>0</v>
      </c>
      <c r="Y36" s="943">
        <v>532</v>
      </c>
      <c r="Z36" s="941">
        <v>0</v>
      </c>
      <c r="AA36" s="943">
        <v>0</v>
      </c>
      <c r="AB36" s="941">
        <v>0</v>
      </c>
      <c r="AC36" s="943">
        <v>0</v>
      </c>
      <c r="AD36" s="941">
        <v>0</v>
      </c>
      <c r="AE36" s="943">
        <v>0</v>
      </c>
      <c r="AF36" s="941">
        <v>0</v>
      </c>
      <c r="AG36" s="943">
        <v>0</v>
      </c>
      <c r="AH36" s="941">
        <v>0</v>
      </c>
      <c r="AI36" s="943">
        <v>0</v>
      </c>
      <c r="AJ36" s="941">
        <v>0</v>
      </c>
      <c r="AK36" s="943">
        <v>0</v>
      </c>
      <c r="AL36" s="941">
        <v>0</v>
      </c>
      <c r="AM36" s="943">
        <v>0</v>
      </c>
      <c r="AN36" s="941">
        <v>0</v>
      </c>
      <c r="AO36" s="943">
        <v>2884.99</v>
      </c>
      <c r="AP36" s="941">
        <v>0</v>
      </c>
      <c r="AQ36" s="943">
        <v>7063.53</v>
      </c>
      <c r="AR36" s="941">
        <v>0</v>
      </c>
      <c r="AS36" s="943">
        <v>10047</v>
      </c>
      <c r="AT36" s="941">
        <v>0</v>
      </c>
      <c r="AU36" s="943">
        <v>10305.69</v>
      </c>
      <c r="AV36" s="941">
        <v>0</v>
      </c>
      <c r="AW36" s="942">
        <v>6913.85</v>
      </c>
      <c r="AX36" s="941">
        <v>0</v>
      </c>
      <c r="AY36" s="942">
        <v>9342.51</v>
      </c>
      <c r="AZ36" s="941">
        <v>0</v>
      </c>
      <c r="BA36" s="942">
        <v>8103</v>
      </c>
      <c r="BB36" s="941">
        <v>0</v>
      </c>
      <c r="BC36" s="942">
        <v>4224.9260000000004</v>
      </c>
      <c r="BD36" s="941">
        <v>0</v>
      </c>
      <c r="BE36" s="942">
        <v>3239.37</v>
      </c>
      <c r="BF36" s="941">
        <v>0</v>
      </c>
      <c r="BG36" s="942">
        <v>2553.58</v>
      </c>
      <c r="BH36" s="941">
        <v>0</v>
      </c>
      <c r="BI36" s="942">
        <v>2178</v>
      </c>
      <c r="BJ36" s="941">
        <v>0</v>
      </c>
      <c r="BK36" s="942">
        <v>5344.82</v>
      </c>
      <c r="BL36" s="941">
        <v>0</v>
      </c>
      <c r="BM36" s="942">
        <v>7516.94</v>
      </c>
      <c r="BN36" s="941">
        <v>0</v>
      </c>
      <c r="BO36" s="942">
        <v>3958.88</v>
      </c>
      <c r="BP36" s="941">
        <v>0</v>
      </c>
      <c r="BQ36" s="942">
        <v>2661.81</v>
      </c>
      <c r="BR36" s="943">
        <v>0</v>
      </c>
      <c r="BS36" s="943">
        <v>2767.53</v>
      </c>
      <c r="BT36" s="943">
        <v>0</v>
      </c>
      <c r="BU36" s="943">
        <v>3924.67</v>
      </c>
    </row>
    <row r="37" spans="1:73" ht="20" customHeight="1" x14ac:dyDescent="0.35">
      <c r="A37" s="944" t="s">
        <v>115</v>
      </c>
      <c r="B37" s="943">
        <v>0</v>
      </c>
      <c r="C37" s="943">
        <v>0</v>
      </c>
      <c r="D37" s="943">
        <v>0</v>
      </c>
      <c r="E37" s="943">
        <v>0</v>
      </c>
      <c r="F37" s="943">
        <v>0</v>
      </c>
      <c r="G37" s="943">
        <v>0</v>
      </c>
      <c r="H37" s="943">
        <v>0</v>
      </c>
      <c r="I37" s="943">
        <v>0</v>
      </c>
      <c r="J37" s="943">
        <v>0</v>
      </c>
      <c r="K37" s="943">
        <v>0</v>
      </c>
      <c r="L37" s="943">
        <v>0</v>
      </c>
      <c r="M37" s="943">
        <v>0</v>
      </c>
      <c r="N37" s="943">
        <v>0</v>
      </c>
      <c r="O37" s="943">
        <v>0</v>
      </c>
      <c r="P37" s="943">
        <v>0</v>
      </c>
      <c r="Q37" s="943">
        <v>0</v>
      </c>
      <c r="R37" s="943">
        <v>0</v>
      </c>
      <c r="S37" s="943">
        <v>0</v>
      </c>
      <c r="T37" s="943">
        <v>0</v>
      </c>
      <c r="U37" s="943">
        <v>0</v>
      </c>
      <c r="V37" s="943">
        <v>0</v>
      </c>
      <c r="W37" s="943">
        <v>0</v>
      </c>
      <c r="X37" s="943">
        <v>0</v>
      </c>
      <c r="Y37" s="943">
        <v>0</v>
      </c>
      <c r="Z37" s="943">
        <v>0</v>
      </c>
      <c r="AA37" s="943">
        <v>0</v>
      </c>
      <c r="AB37" s="943">
        <v>0</v>
      </c>
      <c r="AC37" s="943">
        <v>0</v>
      </c>
      <c r="AD37" s="943">
        <v>0</v>
      </c>
      <c r="AE37" s="943">
        <v>0</v>
      </c>
      <c r="AF37" s="943">
        <v>0</v>
      </c>
      <c r="AG37" s="943">
        <v>0</v>
      </c>
      <c r="AH37" s="943">
        <v>0</v>
      </c>
      <c r="AI37" s="943">
        <v>0</v>
      </c>
      <c r="AJ37" s="943">
        <v>0</v>
      </c>
      <c r="AK37" s="943">
        <v>0</v>
      </c>
      <c r="AL37" s="943">
        <v>0</v>
      </c>
      <c r="AM37" s="943">
        <v>0</v>
      </c>
      <c r="AN37" s="943">
        <v>0</v>
      </c>
      <c r="AO37" s="943">
        <v>0</v>
      </c>
      <c r="AP37" s="943">
        <v>0</v>
      </c>
      <c r="AQ37" s="942">
        <v>1001.66</v>
      </c>
      <c r="AR37" s="941"/>
      <c r="AS37" s="942">
        <v>1001.66</v>
      </c>
      <c r="AT37" s="941"/>
      <c r="AU37" s="942">
        <v>1000</v>
      </c>
      <c r="AV37" s="941"/>
      <c r="AW37" s="942">
        <v>1000</v>
      </c>
      <c r="AX37" s="941"/>
      <c r="AY37" s="942">
        <v>970</v>
      </c>
      <c r="AZ37" s="941"/>
      <c r="BA37" s="942">
        <v>921</v>
      </c>
      <c r="BB37" s="941"/>
      <c r="BC37" s="942">
        <v>850</v>
      </c>
      <c r="BD37" s="941"/>
      <c r="BE37" s="942">
        <v>841.03</v>
      </c>
      <c r="BF37" s="941"/>
      <c r="BG37" s="942">
        <v>1324.01</v>
      </c>
      <c r="BH37" s="941"/>
      <c r="BI37" s="942">
        <v>1305.7</v>
      </c>
      <c r="BJ37" s="941">
        <v>0</v>
      </c>
      <c r="BK37" s="942">
        <v>1295.8699999999999</v>
      </c>
      <c r="BL37" s="941">
        <v>0</v>
      </c>
      <c r="BM37" s="942">
        <v>1291.28</v>
      </c>
      <c r="BN37" s="941">
        <v>0</v>
      </c>
      <c r="BO37" s="942">
        <v>1271.8</v>
      </c>
      <c r="BP37" s="941">
        <v>0</v>
      </c>
      <c r="BQ37" s="942">
        <v>1267.52</v>
      </c>
      <c r="BR37" s="943">
        <v>0</v>
      </c>
      <c r="BS37" s="943">
        <v>1265.75</v>
      </c>
      <c r="BT37" s="943">
        <v>0</v>
      </c>
      <c r="BU37" s="943">
        <v>1229.56</v>
      </c>
    </row>
    <row r="38" spans="1:73" ht="20" customHeight="1" x14ac:dyDescent="0.35">
      <c r="A38" s="944" t="s">
        <v>113</v>
      </c>
      <c r="B38" s="943">
        <v>0</v>
      </c>
      <c r="C38" s="943">
        <v>0</v>
      </c>
      <c r="D38" s="943">
        <v>0</v>
      </c>
      <c r="E38" s="943">
        <v>0</v>
      </c>
      <c r="F38" s="943">
        <v>0</v>
      </c>
      <c r="G38" s="943">
        <v>0</v>
      </c>
      <c r="H38" s="943">
        <v>0</v>
      </c>
      <c r="I38" s="943">
        <v>0</v>
      </c>
      <c r="J38" s="943">
        <v>0</v>
      </c>
      <c r="K38" s="943">
        <v>0</v>
      </c>
      <c r="L38" s="943">
        <v>0</v>
      </c>
      <c r="M38" s="943">
        <v>0</v>
      </c>
      <c r="N38" s="943">
        <v>0</v>
      </c>
      <c r="O38" s="943">
        <v>0</v>
      </c>
      <c r="P38" s="943">
        <v>0</v>
      </c>
      <c r="Q38" s="943">
        <v>0</v>
      </c>
      <c r="R38" s="943">
        <v>0</v>
      </c>
      <c r="S38" s="943">
        <v>0</v>
      </c>
      <c r="T38" s="943">
        <v>0</v>
      </c>
      <c r="U38" s="943">
        <v>0</v>
      </c>
      <c r="V38" s="943">
        <v>0</v>
      </c>
      <c r="W38" s="943">
        <v>0</v>
      </c>
      <c r="X38" s="943">
        <v>0</v>
      </c>
      <c r="Y38" s="943">
        <v>0</v>
      </c>
      <c r="Z38" s="943">
        <v>0</v>
      </c>
      <c r="AA38" s="943">
        <v>0</v>
      </c>
      <c r="AB38" s="943">
        <v>0</v>
      </c>
      <c r="AC38" s="943">
        <v>0</v>
      </c>
      <c r="AD38" s="943">
        <v>0</v>
      </c>
      <c r="AE38" s="943">
        <v>0</v>
      </c>
      <c r="AF38" s="943">
        <v>0</v>
      </c>
      <c r="AG38" s="943">
        <v>0</v>
      </c>
      <c r="AH38" s="943">
        <v>0</v>
      </c>
      <c r="AI38" s="943">
        <v>0</v>
      </c>
      <c r="AJ38" s="943">
        <v>0</v>
      </c>
      <c r="AK38" s="943">
        <v>0</v>
      </c>
      <c r="AL38" s="943">
        <v>0</v>
      </c>
      <c r="AM38" s="943">
        <v>0</v>
      </c>
      <c r="AN38" s="943">
        <v>0</v>
      </c>
      <c r="AO38" s="943">
        <v>0</v>
      </c>
      <c r="AP38" s="943">
        <v>0</v>
      </c>
      <c r="AQ38" s="941">
        <v>0</v>
      </c>
      <c r="AR38" s="941">
        <v>0</v>
      </c>
      <c r="AS38" s="943">
        <v>5</v>
      </c>
      <c r="AT38" s="941">
        <v>0</v>
      </c>
      <c r="AU38" s="943">
        <v>66.3</v>
      </c>
      <c r="AV38" s="941">
        <v>0</v>
      </c>
      <c r="AW38" s="942">
        <v>52.1</v>
      </c>
      <c r="AX38" s="941">
        <v>0</v>
      </c>
      <c r="AY38" s="942">
        <v>68.11</v>
      </c>
      <c r="AZ38" s="941">
        <v>0</v>
      </c>
      <c r="BA38" s="942">
        <v>46</v>
      </c>
      <c r="BB38" s="941">
        <v>0</v>
      </c>
      <c r="BC38" s="942">
        <v>53.3</v>
      </c>
      <c r="BD38" s="941">
        <v>0</v>
      </c>
      <c r="BE38" s="942">
        <v>64.150000000000006</v>
      </c>
      <c r="BF38" s="941">
        <v>0</v>
      </c>
      <c r="BG38" s="941">
        <v>0</v>
      </c>
      <c r="BH38" s="941">
        <v>0</v>
      </c>
      <c r="BI38" s="941">
        <v>0</v>
      </c>
      <c r="BJ38" s="941">
        <v>0</v>
      </c>
      <c r="BK38" s="942">
        <v>18.48</v>
      </c>
      <c r="BL38" s="941">
        <v>0</v>
      </c>
      <c r="BM38" s="942">
        <v>25.01</v>
      </c>
      <c r="BN38" s="941">
        <v>0</v>
      </c>
      <c r="BO38" s="941">
        <v>0</v>
      </c>
      <c r="BP38" s="941">
        <v>0</v>
      </c>
      <c r="BQ38" s="941">
        <v>0</v>
      </c>
      <c r="BR38" s="943">
        <v>0</v>
      </c>
      <c r="BS38" s="943">
        <v>14.95</v>
      </c>
      <c r="BT38" s="943">
        <v>0</v>
      </c>
      <c r="BU38" s="943">
        <v>60.88</v>
      </c>
    </row>
    <row r="39" spans="1:73" s="938" customFormat="1" ht="20" customHeight="1" x14ac:dyDescent="0.35">
      <c r="A39" s="940" t="s">
        <v>793</v>
      </c>
      <c r="B39" s="939">
        <v>377</v>
      </c>
      <c r="C39" s="939">
        <v>3985</v>
      </c>
      <c r="D39" s="939">
        <v>349</v>
      </c>
      <c r="E39" s="939">
        <v>3909</v>
      </c>
      <c r="F39" s="939">
        <v>329</v>
      </c>
      <c r="G39" s="939">
        <v>3231</v>
      </c>
      <c r="H39" s="939">
        <v>301</v>
      </c>
      <c r="I39" s="939">
        <v>3671</v>
      </c>
      <c r="J39" s="939">
        <v>280</v>
      </c>
      <c r="K39" s="939">
        <v>2751.6168399999997</v>
      </c>
      <c r="L39" s="939">
        <v>260</v>
      </c>
      <c r="M39" s="939">
        <v>3021</v>
      </c>
      <c r="N39" s="939">
        <v>487</v>
      </c>
      <c r="O39" s="939">
        <v>6232</v>
      </c>
      <c r="P39" s="939">
        <v>470</v>
      </c>
      <c r="Q39" s="939">
        <v>5213</v>
      </c>
      <c r="R39" s="939">
        <v>603</v>
      </c>
      <c r="S39" s="939">
        <v>4500</v>
      </c>
      <c r="T39" s="939">
        <v>538</v>
      </c>
      <c r="U39" s="939">
        <v>4662</v>
      </c>
      <c r="V39" s="939">
        <v>537</v>
      </c>
      <c r="W39" s="939">
        <v>2107</v>
      </c>
      <c r="X39" s="939">
        <v>584</v>
      </c>
      <c r="Y39" s="939">
        <v>2361</v>
      </c>
      <c r="Z39" s="939">
        <v>579</v>
      </c>
      <c r="AA39" s="939">
        <v>1851</v>
      </c>
      <c r="AB39" s="939">
        <v>571</v>
      </c>
      <c r="AC39" s="939">
        <v>1864</v>
      </c>
      <c r="AD39" s="939">
        <v>621</v>
      </c>
      <c r="AE39" s="939">
        <v>1921</v>
      </c>
      <c r="AF39" s="939">
        <v>612.71</v>
      </c>
      <c r="AG39" s="939">
        <v>3103.9699999999989</v>
      </c>
      <c r="AH39" s="939">
        <v>605.07000000000005</v>
      </c>
      <c r="AI39" s="939">
        <v>3248.27</v>
      </c>
      <c r="AJ39" s="939">
        <v>596.76</v>
      </c>
      <c r="AK39" s="939">
        <v>3241.82</v>
      </c>
      <c r="AL39" s="939">
        <v>589.1</v>
      </c>
      <c r="AM39" s="939">
        <v>1901.2899999999997</v>
      </c>
      <c r="AN39" s="939">
        <v>680.82</v>
      </c>
      <c r="AO39" s="939">
        <v>6099.619999999999</v>
      </c>
      <c r="AP39" s="939">
        <v>670.4</v>
      </c>
      <c r="AQ39" s="939">
        <v>11372.453</v>
      </c>
      <c r="AR39" s="939">
        <v>747</v>
      </c>
      <c r="AS39" s="939">
        <v>15877.05</v>
      </c>
      <c r="AT39" s="939">
        <v>898.01</v>
      </c>
      <c r="AU39" s="939">
        <v>17415.79</v>
      </c>
      <c r="AV39" s="939">
        <v>989.58</v>
      </c>
      <c r="AW39" s="939">
        <v>15551.130000000001</v>
      </c>
      <c r="AX39" s="939">
        <v>1033.3800000000001</v>
      </c>
      <c r="AY39" s="939">
        <v>19028.349999999999</v>
      </c>
      <c r="AZ39" s="939">
        <v>1080</v>
      </c>
      <c r="BA39" s="939">
        <v>18419.419999999998</v>
      </c>
      <c r="BB39" s="939">
        <v>1188.83</v>
      </c>
      <c r="BC39" s="939">
        <v>15383.105000000003</v>
      </c>
      <c r="BD39" s="939">
        <v>1223.76</v>
      </c>
      <c r="BE39" s="939">
        <v>15261.5</v>
      </c>
      <c r="BF39" s="939">
        <v>1300.5999999999999</v>
      </c>
      <c r="BG39" s="939">
        <v>15684.253000000001</v>
      </c>
      <c r="BH39" s="939">
        <v>1285.5</v>
      </c>
      <c r="BI39" s="939">
        <v>13927.61</v>
      </c>
      <c r="BJ39" s="939">
        <v>1279.04</v>
      </c>
      <c r="BK39" s="939">
        <v>18212.769999999997</v>
      </c>
      <c r="BL39" s="939">
        <v>1263.96</v>
      </c>
      <c r="BM39" s="939">
        <v>19682.84</v>
      </c>
      <c r="BN39" s="939">
        <v>1257</v>
      </c>
      <c r="BO39" s="939">
        <v>16165.080000000002</v>
      </c>
      <c r="BP39" s="939">
        <v>1242.3599999999999</v>
      </c>
      <c r="BQ39" s="939">
        <v>15970.460000000001</v>
      </c>
      <c r="BR39" s="939">
        <v>1235.07</v>
      </c>
      <c r="BS39" s="939">
        <v>15058.610000000002</v>
      </c>
      <c r="BT39" s="939">
        <v>1219.99</v>
      </c>
      <c r="BU39" s="939">
        <v>17521.230000000003</v>
      </c>
    </row>
    <row r="40" spans="1:73" s="62" customFormat="1" ht="21.9" customHeight="1" x14ac:dyDescent="0.35">
      <c r="A40" s="64" t="s">
        <v>112</v>
      </c>
      <c r="B40" s="63">
        <v>7427</v>
      </c>
      <c r="C40" s="63">
        <v>4508</v>
      </c>
      <c r="D40" s="63">
        <v>13844</v>
      </c>
      <c r="E40" s="63">
        <v>4383</v>
      </c>
      <c r="F40" s="63">
        <v>13770</v>
      </c>
      <c r="G40" s="63">
        <v>3624</v>
      </c>
      <c r="H40" s="63">
        <v>13764</v>
      </c>
      <c r="I40" s="63">
        <v>4000</v>
      </c>
      <c r="J40" s="63">
        <v>14003</v>
      </c>
      <c r="K40" s="63">
        <v>3011.6168397799997</v>
      </c>
      <c r="L40" s="63">
        <v>14085</v>
      </c>
      <c r="M40" s="63">
        <v>3427</v>
      </c>
      <c r="N40" s="63">
        <v>17375</v>
      </c>
      <c r="O40" s="63">
        <v>6972</v>
      </c>
      <c r="P40" s="63">
        <v>17467</v>
      </c>
      <c r="Q40" s="63">
        <v>6021</v>
      </c>
      <c r="R40" s="63">
        <v>17670</v>
      </c>
      <c r="S40" s="63">
        <v>5246</v>
      </c>
      <c r="T40" s="63">
        <v>17606</v>
      </c>
      <c r="U40" s="63">
        <v>5384</v>
      </c>
      <c r="V40" s="63">
        <v>14141</v>
      </c>
      <c r="W40" s="63">
        <v>3299</v>
      </c>
      <c r="X40" s="63">
        <v>14211</v>
      </c>
      <c r="Y40" s="63">
        <v>3530</v>
      </c>
      <c r="Z40" s="63">
        <v>14189</v>
      </c>
      <c r="AA40" s="63">
        <v>3309</v>
      </c>
      <c r="AB40" s="63">
        <v>7804</v>
      </c>
      <c r="AC40" s="63">
        <v>3203</v>
      </c>
      <c r="AD40" s="63">
        <v>7848</v>
      </c>
      <c r="AE40" s="63">
        <v>3880</v>
      </c>
      <c r="AF40" s="63">
        <v>7863.04</v>
      </c>
      <c r="AG40" s="63">
        <v>5279.8599999999988</v>
      </c>
      <c r="AH40" s="63">
        <v>7851.82</v>
      </c>
      <c r="AI40" s="63">
        <v>5961.75</v>
      </c>
      <c r="AJ40" s="63">
        <v>7866.56</v>
      </c>
      <c r="AK40" s="63">
        <v>6225.22</v>
      </c>
      <c r="AL40" s="63">
        <v>7834.0000000000009</v>
      </c>
      <c r="AM40" s="63">
        <v>5747.59</v>
      </c>
      <c r="AN40" s="63">
        <v>7951.54</v>
      </c>
      <c r="AO40" s="63">
        <v>11218.099999999999</v>
      </c>
      <c r="AP40" s="63">
        <v>7770.4</v>
      </c>
      <c r="AQ40" s="63">
        <v>16756.303</v>
      </c>
      <c r="AR40" s="63">
        <v>7847</v>
      </c>
      <c r="AS40" s="63">
        <v>21672.05</v>
      </c>
      <c r="AT40" s="63">
        <v>7998.01</v>
      </c>
      <c r="AU40" s="63">
        <v>23881.81</v>
      </c>
      <c r="AV40" s="63">
        <v>8089.58</v>
      </c>
      <c r="AW40" s="63">
        <v>21908.11</v>
      </c>
      <c r="AX40" s="63">
        <v>7633.38</v>
      </c>
      <c r="AY40" s="63">
        <v>25597</v>
      </c>
      <c r="AZ40" s="63">
        <v>7680</v>
      </c>
      <c r="BA40" s="63">
        <v>25278.42</v>
      </c>
      <c r="BB40" s="63">
        <v>7788.83</v>
      </c>
      <c r="BC40" s="63">
        <v>23155.275000000001</v>
      </c>
      <c r="BD40" s="63">
        <v>7823.76</v>
      </c>
      <c r="BE40" s="63">
        <v>23038.22</v>
      </c>
      <c r="BF40" s="63">
        <v>7900.6</v>
      </c>
      <c r="BG40" s="63">
        <v>28472.863000000001</v>
      </c>
      <c r="BH40" s="63">
        <v>7885.5</v>
      </c>
      <c r="BI40" s="63">
        <v>27300.61</v>
      </c>
      <c r="BJ40" s="63">
        <v>7879.04</v>
      </c>
      <c r="BK40" s="63">
        <v>32728.319999999996</v>
      </c>
      <c r="BL40" s="63">
        <v>7863.96</v>
      </c>
      <c r="BM40" s="63">
        <v>34270.259999999995</v>
      </c>
      <c r="BN40" s="63">
        <v>5357</v>
      </c>
      <c r="BO40" s="63">
        <v>31463.56</v>
      </c>
      <c r="BP40" s="63">
        <v>5348.61</v>
      </c>
      <c r="BQ40" s="63">
        <v>30758.739999999998</v>
      </c>
      <c r="BR40" s="63">
        <v>4830.8989999999994</v>
      </c>
      <c r="BS40" s="63">
        <v>29639.780000000002</v>
      </c>
      <c r="BT40" s="63">
        <v>4822.07</v>
      </c>
      <c r="BU40" s="63">
        <v>32529.600000000002</v>
      </c>
    </row>
    <row r="41" spans="1:73" ht="7.25" customHeight="1" x14ac:dyDescent="0.35"/>
    <row r="42" spans="1:73" x14ac:dyDescent="0.3">
      <c r="A42" s="1218" t="s">
        <v>111</v>
      </c>
      <c r="B42" s="1218"/>
      <c r="C42" s="1218"/>
      <c r="D42" s="1218"/>
      <c r="E42" s="1218"/>
      <c r="F42" s="1218"/>
      <c r="G42" s="1218"/>
      <c r="H42" s="1218"/>
      <c r="I42" s="1218"/>
      <c r="J42" s="1218"/>
      <c r="K42" s="1218"/>
      <c r="L42" s="1218"/>
      <c r="M42" s="1218"/>
      <c r="N42" s="1218"/>
      <c r="O42" s="1218"/>
      <c r="P42" s="1218"/>
      <c r="Q42" s="1218"/>
      <c r="R42" s="1218"/>
      <c r="S42" s="1218"/>
      <c r="T42" s="1218"/>
      <c r="U42" s="1218"/>
      <c r="V42" s="1218"/>
      <c r="W42" s="1218"/>
      <c r="X42" s="1218"/>
      <c r="Y42" s="1218"/>
      <c r="Z42" s="1218"/>
      <c r="AA42" s="1218"/>
      <c r="AB42" s="1218"/>
      <c r="AC42" s="1218"/>
      <c r="AD42" s="1218"/>
      <c r="AE42" s="1218"/>
      <c r="AF42" s="1218"/>
      <c r="AG42" s="1218"/>
      <c r="AH42" s="1218"/>
      <c r="AI42" s="1218"/>
      <c r="AJ42" s="1218"/>
      <c r="AK42" s="1218"/>
      <c r="AL42" s="1218"/>
      <c r="AM42" s="1218"/>
      <c r="AN42" s="1218"/>
      <c r="AO42" s="1218"/>
      <c r="AP42" s="1218"/>
      <c r="AQ42" s="1218"/>
      <c r="AR42" s="1218"/>
      <c r="AS42" s="1218"/>
      <c r="AT42" s="1218"/>
      <c r="AU42" s="1218"/>
      <c r="AV42" s="1218"/>
      <c r="AW42" s="1218"/>
      <c r="AX42" s="1218"/>
      <c r="AY42" s="1218"/>
      <c r="AZ42" s="1218"/>
      <c r="BA42" s="1218"/>
      <c r="BB42" s="1218"/>
      <c r="BC42" s="1218"/>
      <c r="BD42" s="1218"/>
      <c r="BE42" s="1218"/>
      <c r="BF42" s="1218"/>
      <c r="BG42" s="1218"/>
      <c r="BH42" s="1218"/>
      <c r="BI42" s="1218"/>
      <c r="BJ42" s="1218"/>
      <c r="BK42" s="1218"/>
      <c r="BL42" s="1218"/>
      <c r="BM42" s="1218"/>
      <c r="BN42" s="1218"/>
      <c r="BO42" s="1218"/>
      <c r="BP42" s="1218"/>
      <c r="BQ42" s="1218"/>
      <c r="BR42" s="1218"/>
      <c r="BS42" s="1218"/>
      <c r="BT42" s="1218"/>
      <c r="BU42" s="1218"/>
    </row>
    <row r="43" spans="1:73" x14ac:dyDescent="0.35">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row>
    <row r="44" spans="1:73" x14ac:dyDescent="0.35">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row>
    <row r="45" spans="1:73" x14ac:dyDescent="0.35">
      <c r="B45" s="937"/>
      <c r="C45" s="937"/>
      <c r="D45" s="937"/>
      <c r="E45" s="937"/>
      <c r="F45" s="937"/>
      <c r="G45" s="937"/>
      <c r="H45" s="937"/>
      <c r="I45" s="937"/>
      <c r="J45" s="937"/>
      <c r="K45" s="937"/>
      <c r="L45" s="937"/>
      <c r="M45" s="937"/>
      <c r="N45" s="937"/>
      <c r="O45" s="937"/>
      <c r="P45" s="937"/>
      <c r="Q45" s="937"/>
      <c r="R45" s="937"/>
      <c r="S45" s="937"/>
      <c r="T45" s="937"/>
      <c r="U45" s="937"/>
      <c r="V45" s="937"/>
      <c r="W45" s="937"/>
      <c r="X45" s="937"/>
      <c r="Y45" s="937"/>
      <c r="Z45" s="937"/>
      <c r="AA45" s="937"/>
      <c r="AB45" s="937"/>
      <c r="AC45" s="937"/>
      <c r="AD45" s="937"/>
      <c r="AE45" s="937"/>
      <c r="AF45" s="937"/>
      <c r="AG45" s="937"/>
      <c r="AH45" s="937"/>
      <c r="AI45" s="937"/>
      <c r="AJ45" s="937"/>
      <c r="AK45" s="937"/>
      <c r="AL45" s="937"/>
      <c r="AM45" s="937"/>
      <c r="AN45" s="937"/>
      <c r="AO45" s="937"/>
      <c r="AP45" s="937"/>
      <c r="AQ45" s="937"/>
      <c r="AR45" s="937"/>
      <c r="AS45" s="937"/>
      <c r="AT45" s="937"/>
      <c r="AU45" s="937"/>
      <c r="AV45" s="937"/>
      <c r="AW45" s="937"/>
      <c r="AX45" s="937"/>
      <c r="AY45" s="937"/>
      <c r="AZ45" s="937"/>
      <c r="BA45" s="937"/>
      <c r="BB45" s="937"/>
      <c r="BC45" s="937"/>
      <c r="BD45" s="937"/>
      <c r="BE45" s="937"/>
      <c r="BF45" s="937"/>
      <c r="BG45" s="937"/>
      <c r="BH45" s="937"/>
      <c r="BI45" s="937"/>
      <c r="BJ45" s="937"/>
      <c r="BK45" s="937"/>
      <c r="BL45" s="937"/>
      <c r="BM45" s="937"/>
      <c r="BN45" s="937"/>
      <c r="BO45" s="937"/>
      <c r="BP45" s="937"/>
      <c r="BQ45" s="937"/>
      <c r="BR45" s="937"/>
      <c r="BS45" s="937"/>
      <c r="BT45" s="937"/>
      <c r="BU45" s="937"/>
    </row>
    <row r="46" spans="1:73" x14ac:dyDescent="0.35">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row>
    <row r="47" spans="1:73" x14ac:dyDescent="0.35">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row>
  </sheetData>
  <mergeCells count="75">
    <mergeCell ref="BR4:BS4"/>
    <mergeCell ref="BR5:BS5"/>
    <mergeCell ref="H4:I4"/>
    <mergeCell ref="J4:K4"/>
    <mergeCell ref="L4:M4"/>
    <mergeCell ref="N4:O4"/>
    <mergeCell ref="P4:Q4"/>
    <mergeCell ref="AN4:AO4"/>
    <mergeCell ref="R4:S4"/>
    <mergeCell ref="T4:U4"/>
    <mergeCell ref="V4:W4"/>
    <mergeCell ref="X4:Y4"/>
    <mergeCell ref="AB4:AC4"/>
    <mergeCell ref="AD4:AE4"/>
    <mergeCell ref="AF4:AG4"/>
    <mergeCell ref="AL4:AM4"/>
    <mergeCell ref="AP4:AQ4"/>
    <mergeCell ref="AR4:AS4"/>
    <mergeCell ref="AT4:AU4"/>
    <mergeCell ref="AV4:AW4"/>
    <mergeCell ref="AX4:AY4"/>
    <mergeCell ref="AH4:AI4"/>
    <mergeCell ref="AJ4:AK4"/>
    <mergeCell ref="A4:A6"/>
    <mergeCell ref="B4:C4"/>
    <mergeCell ref="D4:E4"/>
    <mergeCell ref="F4:G4"/>
    <mergeCell ref="Z4:AA4"/>
    <mergeCell ref="L5:M5"/>
    <mergeCell ref="N5:O5"/>
    <mergeCell ref="P5:Q5"/>
    <mergeCell ref="B5:C5"/>
    <mergeCell ref="D5:E5"/>
    <mergeCell ref="F5:G5"/>
    <mergeCell ref="H5:I5"/>
    <mergeCell ref="J5:K5"/>
    <mergeCell ref="AN5:AO5"/>
    <mergeCell ref="R5:S5"/>
    <mergeCell ref="T5:U5"/>
    <mergeCell ref="V5:W5"/>
    <mergeCell ref="X5:Y5"/>
    <mergeCell ref="Z5:AA5"/>
    <mergeCell ref="AB5:AC5"/>
    <mergeCell ref="BN5:BO5"/>
    <mergeCell ref="BP5:BQ5"/>
    <mergeCell ref="BN4:BO4"/>
    <mergeCell ref="BL4:BM4"/>
    <mergeCell ref="AZ4:BA4"/>
    <mergeCell ref="BP4:BQ4"/>
    <mergeCell ref="BF4:BG4"/>
    <mergeCell ref="BH4:BI4"/>
    <mergeCell ref="BJ4:BK4"/>
    <mergeCell ref="BB4:BC4"/>
    <mergeCell ref="BD4:BE4"/>
    <mergeCell ref="AR5:AS5"/>
    <mergeCell ref="AT5:AU5"/>
    <mergeCell ref="AV5:AW5"/>
    <mergeCell ref="AX5:AY5"/>
    <mergeCell ref="AZ5:BA5"/>
    <mergeCell ref="A2:BU2"/>
    <mergeCell ref="A42:BU42"/>
    <mergeCell ref="BT4:BU4"/>
    <mergeCell ref="BT5:BU5"/>
    <mergeCell ref="BB5:BC5"/>
    <mergeCell ref="BD5:BE5"/>
    <mergeCell ref="BF5:BG5"/>
    <mergeCell ref="BH5:BI5"/>
    <mergeCell ref="BJ5:BK5"/>
    <mergeCell ref="BL5:BM5"/>
    <mergeCell ref="AP5:AQ5"/>
    <mergeCell ref="AD5:AE5"/>
    <mergeCell ref="AF5:AG5"/>
    <mergeCell ref="AH5:AI5"/>
    <mergeCell ref="AJ5:AK5"/>
    <mergeCell ref="AL5:AM5"/>
  </mergeCells>
  <pageMargins left="0.56000000000000005" right="0.24" top="0.47"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BU29"/>
  <sheetViews>
    <sheetView zoomScale="110" zoomScaleNormal="110" workbookViewId="0">
      <pane xSplit="1" ySplit="6" topLeftCell="BP7" activePane="bottomRight" state="frozen"/>
      <selection activeCell="V17" sqref="V17"/>
      <selection pane="topRight" activeCell="V17" sqref="V17"/>
      <selection pane="bottomLeft" activeCell="V17" sqref="V17"/>
      <selection pane="bottomRight" activeCell="K1" sqref="K1:BO1048576"/>
    </sheetView>
  </sheetViews>
  <sheetFormatPr defaultColWidth="8.6328125" defaultRowHeight="14" x14ac:dyDescent="0.35"/>
  <cols>
    <col min="1" max="1" width="53.08984375" style="61" customWidth="1"/>
    <col min="2" max="2" width="10.08984375" style="61" hidden="1" customWidth="1"/>
    <col min="3" max="3" width="10.453125" style="61" hidden="1" customWidth="1"/>
    <col min="4" max="4" width="10.6328125" style="61" hidden="1" customWidth="1"/>
    <col min="5" max="5" width="11.08984375" style="61" hidden="1" customWidth="1"/>
    <col min="6" max="6" width="11.36328125" style="61" hidden="1" customWidth="1"/>
    <col min="7" max="7" width="10.90625" style="61" hidden="1" customWidth="1"/>
    <col min="8" max="8" width="10.36328125" style="61" hidden="1" customWidth="1"/>
    <col min="9" max="9" width="11" style="61" hidden="1" customWidth="1"/>
    <col min="10" max="10" width="10" style="61" hidden="1" customWidth="1"/>
    <col min="11" max="11" width="10.90625" style="61" hidden="1" customWidth="1"/>
    <col min="12" max="12" width="10" style="61" hidden="1" customWidth="1"/>
    <col min="13" max="13" width="10.90625" style="61" hidden="1" customWidth="1"/>
    <col min="14" max="14" width="10" style="61" hidden="1" customWidth="1"/>
    <col min="15" max="15" width="10.90625" style="61" hidden="1" customWidth="1"/>
    <col min="16" max="16" width="10" style="61" hidden="1" customWidth="1"/>
    <col min="17" max="17" width="10.90625" style="61" hidden="1" customWidth="1"/>
    <col min="18" max="18" width="10" style="61" hidden="1" customWidth="1"/>
    <col min="19" max="35" width="10.90625" style="61" hidden="1" customWidth="1"/>
    <col min="36" max="36" width="11" style="61" hidden="1" customWidth="1"/>
    <col min="37" max="61" width="10.90625" style="61" hidden="1" customWidth="1"/>
    <col min="62" max="62" width="10" style="61" hidden="1" customWidth="1"/>
    <col min="63" max="63" width="10.90625" style="61" hidden="1" customWidth="1"/>
    <col min="64" max="64" width="10" style="61" hidden="1" customWidth="1"/>
    <col min="65" max="65" width="10.90625" style="61" hidden="1" customWidth="1"/>
    <col min="66" max="66" width="10.6328125" style="976" hidden="1" customWidth="1"/>
    <col min="67" max="67" width="10.90625" style="976" hidden="1" customWidth="1"/>
    <col min="68" max="68" width="10.6328125" style="1117" customWidth="1"/>
    <col min="69" max="69" width="10.453125" style="1117" customWidth="1"/>
    <col min="70" max="70" width="10.6328125" style="1117" customWidth="1"/>
    <col min="71" max="71" width="10.08984375" style="1117" customWidth="1"/>
    <col min="72" max="72" width="10.6328125" style="1117" customWidth="1"/>
    <col min="73" max="73" width="10.08984375" style="1117" customWidth="1"/>
    <col min="74" max="16384" width="8.6328125" style="61"/>
  </cols>
  <sheetData>
    <row r="2" spans="1:73" ht="17.5" x14ac:dyDescent="0.35">
      <c r="A2" s="1217" t="s">
        <v>154</v>
      </c>
      <c r="B2" s="1217"/>
      <c r="C2" s="1217"/>
      <c r="D2" s="1217"/>
      <c r="E2" s="1217"/>
      <c r="F2" s="1217"/>
      <c r="G2" s="1217"/>
      <c r="H2" s="1217"/>
      <c r="I2" s="1217"/>
      <c r="J2" s="1217"/>
      <c r="K2" s="1217"/>
      <c r="L2" s="1217"/>
      <c r="M2" s="1217"/>
      <c r="N2" s="1217"/>
      <c r="O2" s="1217"/>
      <c r="P2" s="1217"/>
      <c r="Q2" s="1217"/>
      <c r="R2" s="1217"/>
      <c r="S2" s="1217"/>
      <c r="T2" s="1217"/>
      <c r="U2" s="1217"/>
      <c r="V2" s="1217"/>
      <c r="W2" s="1217"/>
      <c r="X2" s="1217"/>
      <c r="Y2" s="1217"/>
      <c r="Z2" s="1217"/>
      <c r="AA2" s="1217"/>
      <c r="AB2" s="1217"/>
      <c r="AC2" s="1217"/>
      <c r="AD2" s="1217"/>
      <c r="AE2" s="1217"/>
      <c r="AF2" s="1217"/>
      <c r="AG2" s="1217"/>
      <c r="AH2" s="1217"/>
      <c r="AI2" s="1217"/>
      <c r="AJ2" s="1217"/>
      <c r="AK2" s="1217"/>
      <c r="AL2" s="1217"/>
      <c r="AM2" s="1217"/>
      <c r="AN2" s="1217"/>
      <c r="AO2" s="1217"/>
      <c r="AP2" s="1217"/>
      <c r="AQ2" s="1217"/>
      <c r="AR2" s="1217"/>
      <c r="AS2" s="1217"/>
      <c r="AT2" s="1217"/>
      <c r="AU2" s="1217"/>
      <c r="AV2" s="1217"/>
      <c r="AW2" s="1217"/>
      <c r="AX2" s="1217"/>
      <c r="AY2" s="1217"/>
      <c r="AZ2" s="1217"/>
      <c r="BA2" s="1217"/>
      <c r="BB2" s="1217"/>
      <c r="BC2" s="1217"/>
      <c r="BD2" s="1217"/>
      <c r="BE2" s="1217"/>
      <c r="BF2" s="1217"/>
      <c r="BG2" s="1217"/>
      <c r="BH2" s="1217"/>
      <c r="BI2" s="1217"/>
      <c r="BJ2" s="1217"/>
      <c r="BK2" s="1217"/>
      <c r="BL2" s="1217"/>
      <c r="BM2" s="1217"/>
      <c r="BN2" s="1217"/>
      <c r="BO2" s="1217"/>
      <c r="BP2" s="1217"/>
      <c r="BQ2" s="1217"/>
      <c r="BR2" s="1217"/>
      <c r="BS2" s="1217"/>
      <c r="BT2" s="1217"/>
      <c r="BU2" s="1217"/>
    </row>
    <row r="3" spans="1:73" ht="16.5" customHeight="1" x14ac:dyDescent="0.35">
      <c r="Q3" s="82"/>
      <c r="S3" s="82"/>
      <c r="U3" s="82"/>
      <c r="W3" s="82"/>
      <c r="Y3" s="82"/>
      <c r="AA3" s="82"/>
      <c r="AE3" s="82"/>
      <c r="AG3" s="82"/>
      <c r="AI3" s="82"/>
      <c r="AK3" s="82"/>
      <c r="AM3" s="82"/>
      <c r="AO3" s="82"/>
      <c r="AQ3" s="82"/>
      <c r="AS3" s="82"/>
      <c r="AW3" s="82"/>
      <c r="BC3" s="82"/>
      <c r="BE3" s="82"/>
      <c r="BG3" s="82"/>
      <c r="BI3" s="82"/>
      <c r="BK3" s="82"/>
      <c r="BM3" s="82"/>
      <c r="BO3" s="82"/>
      <c r="BQ3" s="960"/>
      <c r="BS3" s="960"/>
      <c r="BU3" s="960" t="s">
        <v>144</v>
      </c>
    </row>
    <row r="4" spans="1:73" ht="16.25" customHeight="1" x14ac:dyDescent="0.35">
      <c r="A4" s="1226"/>
      <c r="B4" s="1229">
        <v>42887</v>
      </c>
      <c r="C4" s="1229"/>
      <c r="D4" s="1229">
        <v>42979</v>
      </c>
      <c r="E4" s="1229"/>
      <c r="F4" s="1229">
        <v>43070</v>
      </c>
      <c r="G4" s="1229"/>
      <c r="H4" s="1229">
        <v>43160</v>
      </c>
      <c r="I4" s="1229"/>
      <c r="J4" s="1229">
        <v>43252</v>
      </c>
      <c r="K4" s="1229"/>
      <c r="L4" s="1229">
        <v>43344</v>
      </c>
      <c r="M4" s="1229"/>
      <c r="N4" s="1229">
        <v>43435</v>
      </c>
      <c r="O4" s="1229"/>
      <c r="P4" s="1229">
        <v>43525</v>
      </c>
      <c r="Q4" s="1229"/>
      <c r="R4" s="1229">
        <v>43617</v>
      </c>
      <c r="S4" s="1229"/>
      <c r="T4" s="1229">
        <v>43709</v>
      </c>
      <c r="U4" s="1229"/>
      <c r="V4" s="1229">
        <v>43800</v>
      </c>
      <c r="W4" s="1229"/>
      <c r="X4" s="1229">
        <v>43891</v>
      </c>
      <c r="Y4" s="1229"/>
      <c r="Z4" s="1229">
        <v>43983</v>
      </c>
      <c r="AA4" s="1229"/>
      <c r="AB4" s="1229">
        <v>44075</v>
      </c>
      <c r="AC4" s="1229"/>
      <c r="AD4" s="1229">
        <v>44166</v>
      </c>
      <c r="AE4" s="1229"/>
      <c r="AF4" s="1229">
        <v>44256</v>
      </c>
      <c r="AG4" s="1229"/>
      <c r="AH4" s="1229">
        <v>44348</v>
      </c>
      <c r="AI4" s="1229"/>
      <c r="AJ4" s="1229">
        <v>44440</v>
      </c>
      <c r="AK4" s="1229"/>
      <c r="AL4" s="1229">
        <v>44531</v>
      </c>
      <c r="AM4" s="1229"/>
      <c r="AN4" s="1229">
        <v>44621</v>
      </c>
      <c r="AO4" s="1229"/>
      <c r="AP4" s="1229">
        <v>44713</v>
      </c>
      <c r="AQ4" s="1229"/>
      <c r="AR4" s="1229">
        <v>44805</v>
      </c>
      <c r="AS4" s="1229"/>
      <c r="AT4" s="1229">
        <v>44896</v>
      </c>
      <c r="AU4" s="1229"/>
      <c r="AV4" s="1229">
        <v>44986</v>
      </c>
      <c r="AW4" s="1229"/>
      <c r="AX4" s="1229">
        <v>45078</v>
      </c>
      <c r="AY4" s="1229"/>
      <c r="AZ4" s="1229">
        <v>45170</v>
      </c>
      <c r="BA4" s="1229"/>
      <c r="BB4" s="1229">
        <v>45261</v>
      </c>
      <c r="BC4" s="1229"/>
      <c r="BD4" s="1229">
        <v>45352</v>
      </c>
      <c r="BE4" s="1229"/>
      <c r="BF4" s="1229">
        <v>45444</v>
      </c>
      <c r="BG4" s="1229"/>
      <c r="BH4" s="1229">
        <v>45536</v>
      </c>
      <c r="BI4" s="1229"/>
      <c r="BJ4" s="1229">
        <v>45657</v>
      </c>
      <c r="BK4" s="1229"/>
      <c r="BL4" s="1229">
        <v>45747</v>
      </c>
      <c r="BM4" s="1229"/>
      <c r="BN4" s="1229">
        <v>45838</v>
      </c>
      <c r="BO4" s="1229"/>
      <c r="BP4" s="1229">
        <v>45930</v>
      </c>
      <c r="BQ4" s="1229"/>
      <c r="BR4" s="1229">
        <v>46021</v>
      </c>
      <c r="BS4" s="1229"/>
      <c r="BT4" s="1229">
        <v>46111</v>
      </c>
      <c r="BU4" s="1229"/>
    </row>
    <row r="5" spans="1:73" ht="16.25" customHeight="1" x14ac:dyDescent="0.35">
      <c r="A5" s="1227"/>
      <c r="B5" s="1223" t="s">
        <v>54</v>
      </c>
      <c r="C5" s="1223"/>
      <c r="D5" s="1223" t="s">
        <v>54</v>
      </c>
      <c r="E5" s="1223"/>
      <c r="F5" s="1223" t="s">
        <v>54</v>
      </c>
      <c r="G5" s="1223"/>
      <c r="H5" s="1223" t="s">
        <v>54</v>
      </c>
      <c r="I5" s="1223"/>
      <c r="J5" s="1223" t="s">
        <v>54</v>
      </c>
      <c r="K5" s="1223"/>
      <c r="L5" s="1223" t="s">
        <v>54</v>
      </c>
      <c r="M5" s="1223"/>
      <c r="N5" s="1223" t="s">
        <v>54</v>
      </c>
      <c r="O5" s="1223"/>
      <c r="P5" s="1223" t="s">
        <v>54</v>
      </c>
      <c r="Q5" s="1223"/>
      <c r="R5" s="1223" t="s">
        <v>54</v>
      </c>
      <c r="S5" s="1223"/>
      <c r="T5" s="1223" t="s">
        <v>54</v>
      </c>
      <c r="U5" s="1223"/>
      <c r="V5" s="1223" t="s">
        <v>54</v>
      </c>
      <c r="W5" s="1223"/>
      <c r="X5" s="1223" t="s">
        <v>54</v>
      </c>
      <c r="Y5" s="1223"/>
      <c r="Z5" s="1223" t="s">
        <v>54</v>
      </c>
      <c r="AA5" s="1223"/>
      <c r="AB5" s="1223" t="s">
        <v>54</v>
      </c>
      <c r="AC5" s="1223"/>
      <c r="AD5" s="1223" t="s">
        <v>54</v>
      </c>
      <c r="AE5" s="1223"/>
      <c r="AF5" s="1223" t="s">
        <v>54</v>
      </c>
      <c r="AG5" s="1223"/>
      <c r="AH5" s="1223" t="s">
        <v>54</v>
      </c>
      <c r="AI5" s="1223"/>
      <c r="AJ5" s="1223" t="s">
        <v>54</v>
      </c>
      <c r="AK5" s="1223"/>
      <c r="AL5" s="1223" t="s">
        <v>54</v>
      </c>
      <c r="AM5" s="1223"/>
      <c r="AN5" s="1223" t="s">
        <v>54</v>
      </c>
      <c r="AO5" s="1223"/>
      <c r="AP5" s="1223" t="s">
        <v>54</v>
      </c>
      <c r="AQ5" s="1223"/>
      <c r="AR5" s="1223" t="s">
        <v>54</v>
      </c>
      <c r="AS5" s="1223"/>
      <c r="AT5" s="1223" t="s">
        <v>54</v>
      </c>
      <c r="AU5" s="1223"/>
      <c r="AV5" s="1223" t="s">
        <v>54</v>
      </c>
      <c r="AW5" s="1223"/>
      <c r="AX5" s="1223" t="s">
        <v>54</v>
      </c>
      <c r="AY5" s="1223"/>
      <c r="AZ5" s="1223" t="s">
        <v>54</v>
      </c>
      <c r="BA5" s="1223"/>
      <c r="BB5" s="1223" t="s">
        <v>54</v>
      </c>
      <c r="BC5" s="1223"/>
      <c r="BD5" s="1223" t="s">
        <v>54</v>
      </c>
      <c r="BE5" s="1223"/>
      <c r="BF5" s="1223" t="s">
        <v>54</v>
      </c>
      <c r="BG5" s="1223"/>
      <c r="BH5" s="1223" t="s">
        <v>54</v>
      </c>
      <c r="BI5" s="1223"/>
      <c r="BJ5" s="1223" t="s">
        <v>54</v>
      </c>
      <c r="BK5" s="1223"/>
      <c r="BL5" s="1223" t="s">
        <v>54</v>
      </c>
      <c r="BM5" s="1223"/>
      <c r="BN5" s="1231" t="s">
        <v>54</v>
      </c>
      <c r="BO5" s="1231"/>
      <c r="BP5" s="1231" t="s">
        <v>54</v>
      </c>
      <c r="BQ5" s="1231"/>
      <c r="BR5" s="1231" t="s">
        <v>54</v>
      </c>
      <c r="BS5" s="1231"/>
      <c r="BT5" s="1231" t="s">
        <v>53</v>
      </c>
      <c r="BU5" s="1231"/>
    </row>
    <row r="6" spans="1:73" ht="32.5" customHeight="1" x14ac:dyDescent="0.35">
      <c r="A6" s="1227"/>
      <c r="B6" s="67" t="s">
        <v>143</v>
      </c>
      <c r="C6" s="66" t="s">
        <v>142</v>
      </c>
      <c r="D6" s="67" t="s">
        <v>143</v>
      </c>
      <c r="E6" s="66" t="s">
        <v>142</v>
      </c>
      <c r="F6" s="67" t="s">
        <v>143</v>
      </c>
      <c r="G6" s="66" t="s">
        <v>142</v>
      </c>
      <c r="H6" s="67" t="s">
        <v>143</v>
      </c>
      <c r="I6" s="66" t="s">
        <v>142</v>
      </c>
      <c r="J6" s="67" t="s">
        <v>143</v>
      </c>
      <c r="K6" s="66" t="s">
        <v>142</v>
      </c>
      <c r="L6" s="67" t="s">
        <v>143</v>
      </c>
      <c r="M6" s="66" t="s">
        <v>142</v>
      </c>
      <c r="N6" s="67" t="s">
        <v>143</v>
      </c>
      <c r="O6" s="66" t="s">
        <v>142</v>
      </c>
      <c r="P6" s="67" t="s">
        <v>143</v>
      </c>
      <c r="Q6" s="66" t="s">
        <v>142</v>
      </c>
      <c r="R6" s="67" t="s">
        <v>143</v>
      </c>
      <c r="S6" s="66" t="s">
        <v>142</v>
      </c>
      <c r="T6" s="67" t="s">
        <v>143</v>
      </c>
      <c r="U6" s="66" t="s">
        <v>142</v>
      </c>
      <c r="V6" s="67" t="s">
        <v>143</v>
      </c>
      <c r="W6" s="66" t="s">
        <v>142</v>
      </c>
      <c r="X6" s="67" t="s">
        <v>143</v>
      </c>
      <c r="Y6" s="66" t="s">
        <v>142</v>
      </c>
      <c r="Z6" s="67" t="s">
        <v>143</v>
      </c>
      <c r="AA6" s="66" t="s">
        <v>142</v>
      </c>
      <c r="AB6" s="67" t="s">
        <v>143</v>
      </c>
      <c r="AC6" s="66" t="s">
        <v>142</v>
      </c>
      <c r="AD6" s="67" t="s">
        <v>143</v>
      </c>
      <c r="AE6" s="66" t="s">
        <v>142</v>
      </c>
      <c r="AF6" s="67" t="s">
        <v>143</v>
      </c>
      <c r="AG6" s="66" t="s">
        <v>142</v>
      </c>
      <c r="AH6" s="67" t="s">
        <v>143</v>
      </c>
      <c r="AI6" s="66" t="s">
        <v>142</v>
      </c>
      <c r="AJ6" s="67" t="s">
        <v>143</v>
      </c>
      <c r="AK6" s="66" t="s">
        <v>142</v>
      </c>
      <c r="AL6" s="67" t="s">
        <v>143</v>
      </c>
      <c r="AM6" s="66" t="s">
        <v>142</v>
      </c>
      <c r="AN6" s="67" t="s">
        <v>143</v>
      </c>
      <c r="AO6" s="66" t="s">
        <v>142</v>
      </c>
      <c r="AP6" s="67" t="s">
        <v>143</v>
      </c>
      <c r="AQ6" s="66" t="s">
        <v>142</v>
      </c>
      <c r="AR6" s="67" t="s">
        <v>143</v>
      </c>
      <c r="AS6" s="66" t="s">
        <v>142</v>
      </c>
      <c r="AT6" s="67" t="s">
        <v>143</v>
      </c>
      <c r="AU6" s="66" t="s">
        <v>142</v>
      </c>
      <c r="AV6" s="67" t="s">
        <v>143</v>
      </c>
      <c r="AW6" s="66" t="s">
        <v>142</v>
      </c>
      <c r="AX6" s="67" t="s">
        <v>143</v>
      </c>
      <c r="AY6" s="66" t="s">
        <v>142</v>
      </c>
      <c r="AZ6" s="67" t="s">
        <v>143</v>
      </c>
      <c r="BA6" s="66" t="s">
        <v>142</v>
      </c>
      <c r="BB6" s="67" t="s">
        <v>143</v>
      </c>
      <c r="BC6" s="66" t="s">
        <v>142</v>
      </c>
      <c r="BD6" s="67" t="s">
        <v>143</v>
      </c>
      <c r="BE6" s="66" t="s">
        <v>142</v>
      </c>
      <c r="BF6" s="67" t="s">
        <v>143</v>
      </c>
      <c r="BG6" s="66" t="s">
        <v>142</v>
      </c>
      <c r="BH6" s="67" t="s">
        <v>143</v>
      </c>
      <c r="BI6" s="66" t="s">
        <v>142</v>
      </c>
      <c r="BJ6" s="67" t="s">
        <v>143</v>
      </c>
      <c r="BK6" s="66" t="s">
        <v>142</v>
      </c>
      <c r="BL6" s="67" t="s">
        <v>143</v>
      </c>
      <c r="BM6" s="66" t="s">
        <v>142</v>
      </c>
      <c r="BN6" s="67" t="s">
        <v>143</v>
      </c>
      <c r="BO6" s="66" t="s">
        <v>142</v>
      </c>
      <c r="BP6" s="67" t="s">
        <v>143</v>
      </c>
      <c r="BQ6" s="66" t="s">
        <v>142</v>
      </c>
      <c r="BR6" s="67" t="s">
        <v>143</v>
      </c>
      <c r="BS6" s="66" t="s">
        <v>142</v>
      </c>
      <c r="BT6" s="67" t="s">
        <v>143</v>
      </c>
      <c r="BU6" s="66" t="s">
        <v>142</v>
      </c>
    </row>
    <row r="7" spans="1:73" ht="20.399999999999999" customHeight="1" x14ac:dyDescent="0.35">
      <c r="A7" s="958" t="s">
        <v>796</v>
      </c>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row>
    <row r="8" spans="1:73" ht="20.399999999999999" customHeight="1" x14ac:dyDescent="0.35">
      <c r="A8" s="65" t="s">
        <v>127</v>
      </c>
      <c r="B8" s="80"/>
      <c r="C8" s="80"/>
      <c r="D8" s="80">
        <v>0</v>
      </c>
      <c r="E8" s="80">
        <v>0</v>
      </c>
      <c r="F8" s="80">
        <v>0</v>
      </c>
      <c r="G8" s="80">
        <v>0</v>
      </c>
      <c r="H8" s="80">
        <v>0</v>
      </c>
      <c r="I8" s="80">
        <v>0</v>
      </c>
      <c r="J8" s="80">
        <v>0</v>
      </c>
      <c r="K8" s="80">
        <v>0</v>
      </c>
      <c r="L8" s="80">
        <v>0</v>
      </c>
      <c r="M8" s="80">
        <v>0</v>
      </c>
      <c r="N8" s="80">
        <v>0</v>
      </c>
      <c r="O8" s="80">
        <v>0</v>
      </c>
      <c r="P8" s="80">
        <v>0</v>
      </c>
      <c r="Q8" s="80">
        <v>0</v>
      </c>
      <c r="R8" s="80">
        <v>0</v>
      </c>
      <c r="S8" s="80">
        <v>0</v>
      </c>
      <c r="T8" s="80">
        <v>0</v>
      </c>
      <c r="U8" s="80">
        <v>0</v>
      </c>
      <c r="V8" s="957">
        <v>3682.8</v>
      </c>
      <c r="W8" s="957">
        <v>0</v>
      </c>
      <c r="X8" s="957">
        <v>3972.2</v>
      </c>
      <c r="Y8" s="957">
        <v>0</v>
      </c>
      <c r="Z8" s="954">
        <v>4060.9299999999994</v>
      </c>
      <c r="AA8" s="79">
        <v>0</v>
      </c>
      <c r="AB8" s="954">
        <v>4033.43</v>
      </c>
      <c r="AC8" s="79">
        <v>0</v>
      </c>
      <c r="AD8" s="954">
        <v>3986</v>
      </c>
      <c r="AE8" s="79">
        <v>0</v>
      </c>
      <c r="AF8" s="954">
        <v>4090.5700000000006</v>
      </c>
      <c r="AG8" s="79">
        <v>0</v>
      </c>
      <c r="AH8" s="954">
        <v>4303</v>
      </c>
      <c r="AI8" s="79">
        <v>0</v>
      </c>
      <c r="AJ8" s="954">
        <v>4306</v>
      </c>
      <c r="AK8" s="79">
        <v>0</v>
      </c>
      <c r="AL8" s="954">
        <v>4387.5</v>
      </c>
      <c r="AM8" s="79">
        <v>0</v>
      </c>
      <c r="AN8" s="954">
        <v>4486</v>
      </c>
      <c r="AO8" s="79">
        <v>0</v>
      </c>
      <c r="AP8" s="954">
        <v>4582</v>
      </c>
      <c r="AQ8" s="79">
        <v>0</v>
      </c>
      <c r="AR8" s="954">
        <v>4558</v>
      </c>
      <c r="AS8" s="79">
        <v>0</v>
      </c>
      <c r="AT8" s="954">
        <v>4434</v>
      </c>
      <c r="AU8" s="79">
        <v>0</v>
      </c>
      <c r="AV8" s="954">
        <v>4601</v>
      </c>
      <c r="AW8" s="79">
        <v>0</v>
      </c>
      <c r="AX8" s="954">
        <v>4598.6400000000003</v>
      </c>
      <c r="AY8" s="79">
        <v>0</v>
      </c>
      <c r="AZ8" s="954">
        <v>4491.93</v>
      </c>
      <c r="BA8" s="79">
        <v>0</v>
      </c>
      <c r="BB8" s="954">
        <v>4447.29</v>
      </c>
      <c r="BC8" s="79">
        <v>0</v>
      </c>
      <c r="BD8" s="954">
        <v>4690</v>
      </c>
      <c r="BE8" s="79">
        <v>0</v>
      </c>
      <c r="BF8" s="954">
        <v>4758.43</v>
      </c>
      <c r="BG8" s="79">
        <v>0</v>
      </c>
      <c r="BH8" s="954">
        <v>4303.7299999999996</v>
      </c>
      <c r="BI8" s="79">
        <v>0</v>
      </c>
      <c r="BJ8" s="954">
        <v>4409.0521429928067</v>
      </c>
      <c r="BK8" s="79">
        <v>0</v>
      </c>
      <c r="BL8" s="954">
        <v>3949.7</v>
      </c>
      <c r="BM8" s="79">
        <v>0</v>
      </c>
      <c r="BN8" s="954">
        <v>3899</v>
      </c>
      <c r="BO8" s="79">
        <v>0</v>
      </c>
      <c r="BP8" s="954">
        <v>3621</v>
      </c>
      <c r="BQ8" s="79">
        <v>0</v>
      </c>
      <c r="BR8" s="984">
        <v>3631</v>
      </c>
      <c r="BS8" s="79">
        <v>0</v>
      </c>
      <c r="BT8" s="984">
        <v>3365</v>
      </c>
      <c r="BU8" s="79">
        <v>0</v>
      </c>
    </row>
    <row r="9" spans="1:73" ht="20.399999999999999" customHeight="1" x14ac:dyDescent="0.35">
      <c r="A9" s="956" t="s">
        <v>795</v>
      </c>
      <c r="B9" s="959">
        <v>0</v>
      </c>
      <c r="C9" s="959">
        <v>0</v>
      </c>
      <c r="D9" s="959">
        <v>0</v>
      </c>
      <c r="E9" s="959">
        <v>0</v>
      </c>
      <c r="F9" s="959">
        <v>0</v>
      </c>
      <c r="G9" s="959">
        <v>0</v>
      </c>
      <c r="H9" s="959">
        <v>0</v>
      </c>
      <c r="I9" s="959">
        <v>0</v>
      </c>
      <c r="J9" s="959">
        <v>0</v>
      </c>
      <c r="K9" s="959">
        <v>0</v>
      </c>
      <c r="L9" s="959">
        <v>0</v>
      </c>
      <c r="M9" s="959">
        <v>0</v>
      </c>
      <c r="N9" s="959">
        <v>0</v>
      </c>
      <c r="O9" s="959">
        <v>0</v>
      </c>
      <c r="P9" s="959">
        <v>0</v>
      </c>
      <c r="Q9" s="959">
        <v>0</v>
      </c>
      <c r="R9" s="959">
        <v>0</v>
      </c>
      <c r="S9" s="959">
        <v>0</v>
      </c>
      <c r="T9" s="959">
        <v>0</v>
      </c>
      <c r="U9" s="959">
        <v>0</v>
      </c>
      <c r="V9" s="959">
        <v>3682.8</v>
      </c>
      <c r="W9" s="959">
        <v>0</v>
      </c>
      <c r="X9" s="959">
        <v>3972.2</v>
      </c>
      <c r="Y9" s="959">
        <v>0</v>
      </c>
      <c r="Z9" s="959">
        <v>4060.9299999999994</v>
      </c>
      <c r="AA9" s="959">
        <v>0</v>
      </c>
      <c r="AB9" s="959">
        <v>4033.43</v>
      </c>
      <c r="AC9" s="959">
        <v>0</v>
      </c>
      <c r="AD9" s="959">
        <v>3986</v>
      </c>
      <c r="AE9" s="959">
        <v>0</v>
      </c>
      <c r="AF9" s="959">
        <v>4090.5700000000006</v>
      </c>
      <c r="AG9" s="959">
        <v>0</v>
      </c>
      <c r="AH9" s="959">
        <v>4303</v>
      </c>
      <c r="AI9" s="959">
        <v>0</v>
      </c>
      <c r="AJ9" s="959">
        <v>4306</v>
      </c>
      <c r="AK9" s="959">
        <v>0</v>
      </c>
      <c r="AL9" s="959">
        <v>4387.5</v>
      </c>
      <c r="AM9" s="959">
        <v>0</v>
      </c>
      <c r="AN9" s="959">
        <v>4486</v>
      </c>
      <c r="AO9" s="959">
        <v>0</v>
      </c>
      <c r="AP9" s="959">
        <v>4582</v>
      </c>
      <c r="AQ9" s="959">
        <v>0</v>
      </c>
      <c r="AR9" s="959">
        <v>4558</v>
      </c>
      <c r="AS9" s="959">
        <v>0</v>
      </c>
      <c r="AT9" s="959">
        <v>4434</v>
      </c>
      <c r="AU9" s="959">
        <v>0</v>
      </c>
      <c r="AV9" s="959">
        <v>4601</v>
      </c>
      <c r="AW9" s="959">
        <v>0</v>
      </c>
      <c r="AX9" s="959">
        <v>4598.6400000000003</v>
      </c>
      <c r="AY9" s="959">
        <v>0</v>
      </c>
      <c r="AZ9" s="959">
        <v>4491.93</v>
      </c>
      <c r="BA9" s="959">
        <v>0</v>
      </c>
      <c r="BB9" s="959">
        <v>4447.29</v>
      </c>
      <c r="BC9" s="959">
        <v>0</v>
      </c>
      <c r="BD9" s="959">
        <v>4690</v>
      </c>
      <c r="BE9" s="959">
        <v>0</v>
      </c>
      <c r="BF9" s="959">
        <v>4758.43</v>
      </c>
      <c r="BG9" s="959">
        <v>0</v>
      </c>
      <c r="BH9" s="959">
        <v>4303.7299999999996</v>
      </c>
      <c r="BI9" s="959">
        <v>0</v>
      </c>
      <c r="BJ9" s="959">
        <v>4409.0521429928067</v>
      </c>
      <c r="BK9" s="959">
        <v>0</v>
      </c>
      <c r="BL9" s="959">
        <v>3949.7</v>
      </c>
      <c r="BM9" s="959">
        <v>0</v>
      </c>
      <c r="BN9" s="959">
        <v>3899</v>
      </c>
      <c r="BO9" s="959">
        <v>0</v>
      </c>
      <c r="BP9" s="959">
        <v>3621</v>
      </c>
      <c r="BQ9" s="959">
        <v>0</v>
      </c>
      <c r="BR9" s="959">
        <v>3631</v>
      </c>
      <c r="BS9" s="959">
        <v>0</v>
      </c>
      <c r="BT9" s="959">
        <v>3365</v>
      </c>
      <c r="BU9" s="959">
        <v>0</v>
      </c>
    </row>
    <row r="10" spans="1:73" ht="20.399999999999999" customHeight="1" x14ac:dyDescent="0.35">
      <c r="A10" s="65"/>
      <c r="B10" s="80"/>
      <c r="C10" s="80"/>
      <c r="D10" s="80"/>
      <c r="E10" s="80"/>
      <c r="F10" s="80"/>
      <c r="G10" s="80"/>
      <c r="H10" s="80"/>
      <c r="I10" s="80"/>
      <c r="J10" s="80"/>
      <c r="K10" s="80"/>
      <c r="L10" s="80"/>
      <c r="M10" s="80"/>
      <c r="N10" s="80"/>
      <c r="O10" s="80"/>
      <c r="P10" s="80"/>
      <c r="Q10" s="80"/>
      <c r="R10" s="80"/>
      <c r="S10" s="80"/>
      <c r="T10" s="80"/>
      <c r="U10" s="80"/>
      <c r="V10" s="957"/>
      <c r="W10" s="957"/>
      <c r="X10" s="957"/>
      <c r="Y10" s="957"/>
      <c r="Z10" s="954"/>
      <c r="AA10" s="79"/>
      <c r="AB10" s="954"/>
      <c r="AC10" s="79"/>
      <c r="AD10" s="954"/>
      <c r="AE10" s="79"/>
      <c r="AF10" s="954"/>
      <c r="AG10" s="79"/>
      <c r="AH10" s="954"/>
      <c r="AI10" s="79"/>
      <c r="AJ10" s="954"/>
      <c r="AK10" s="79"/>
      <c r="AL10" s="954"/>
      <c r="AM10" s="79"/>
      <c r="AN10" s="954"/>
      <c r="AO10" s="79"/>
      <c r="AP10" s="954"/>
      <c r="AQ10" s="79"/>
      <c r="AR10" s="954"/>
      <c r="AS10" s="79"/>
      <c r="AT10" s="954"/>
      <c r="AU10" s="79"/>
      <c r="AV10" s="954"/>
      <c r="AW10" s="79"/>
      <c r="AX10" s="954"/>
      <c r="AY10" s="79"/>
      <c r="AZ10" s="954"/>
      <c r="BA10" s="79"/>
      <c r="BB10" s="954"/>
      <c r="BC10" s="79"/>
      <c r="BD10" s="954"/>
      <c r="BE10" s="79"/>
      <c r="BF10" s="954"/>
      <c r="BG10" s="79"/>
      <c r="BH10" s="954"/>
      <c r="BI10" s="79"/>
      <c r="BJ10" s="954"/>
      <c r="BK10" s="79"/>
      <c r="BL10" s="954"/>
      <c r="BM10" s="79"/>
      <c r="BN10" s="954"/>
      <c r="BO10" s="79"/>
      <c r="BP10" s="954"/>
      <c r="BQ10" s="79"/>
      <c r="BR10" s="954"/>
      <c r="BS10" s="79"/>
      <c r="BT10" s="954"/>
      <c r="BU10" s="79"/>
    </row>
    <row r="11" spans="1:73" ht="20.399999999999999" customHeight="1" x14ac:dyDescent="0.35">
      <c r="A11" s="958" t="s">
        <v>794</v>
      </c>
      <c r="B11" s="80"/>
      <c r="C11" s="80"/>
      <c r="D11" s="80"/>
      <c r="E11" s="80"/>
      <c r="F11" s="80"/>
      <c r="G11" s="80"/>
      <c r="H11" s="80"/>
      <c r="I11" s="80"/>
      <c r="J11" s="80"/>
      <c r="K11" s="80"/>
      <c r="L11" s="80"/>
      <c r="M11" s="80"/>
      <c r="N11" s="80"/>
      <c r="O11" s="80"/>
      <c r="P11" s="80"/>
      <c r="Q11" s="80"/>
      <c r="R11" s="80"/>
      <c r="S11" s="80"/>
      <c r="T11" s="80"/>
      <c r="U11" s="80"/>
      <c r="V11" s="957"/>
      <c r="W11" s="957"/>
      <c r="X11" s="957"/>
      <c r="Y11" s="957"/>
      <c r="Z11" s="954"/>
      <c r="AA11" s="79"/>
      <c r="AB11" s="954"/>
      <c r="AC11" s="79"/>
      <c r="AD11" s="954"/>
      <c r="AE11" s="79"/>
      <c r="AF11" s="954"/>
      <c r="AG11" s="79"/>
      <c r="AH11" s="954"/>
      <c r="AI11" s="79"/>
      <c r="AJ11" s="954"/>
      <c r="AK11" s="79"/>
      <c r="AL11" s="954"/>
      <c r="AM11" s="79"/>
      <c r="AN11" s="954"/>
      <c r="AO11" s="79"/>
      <c r="AP11" s="954"/>
      <c r="AQ11" s="79"/>
      <c r="AR11" s="954"/>
      <c r="AS11" s="79"/>
      <c r="AT11" s="954"/>
      <c r="AU11" s="79"/>
      <c r="AV11" s="954"/>
      <c r="AW11" s="79"/>
      <c r="AX11" s="954"/>
      <c r="AY11" s="79"/>
      <c r="AZ11" s="954"/>
      <c r="BA11" s="79"/>
      <c r="BB11" s="954"/>
      <c r="BC11" s="79"/>
      <c r="BD11" s="954"/>
      <c r="BE11" s="79"/>
      <c r="BF11" s="954"/>
      <c r="BG11" s="79"/>
      <c r="BH11" s="954"/>
      <c r="BI11" s="79"/>
      <c r="BJ11" s="954"/>
      <c r="BK11" s="79"/>
      <c r="BL11" s="954"/>
      <c r="BM11" s="79"/>
      <c r="BN11" s="954"/>
      <c r="BO11" s="79"/>
      <c r="BP11" s="954"/>
      <c r="BQ11" s="79"/>
      <c r="BR11" s="954"/>
      <c r="BS11" s="79"/>
      <c r="BT11" s="954"/>
      <c r="BU11" s="79"/>
    </row>
    <row r="12" spans="1:73" ht="18.899999999999999" hidden="1" customHeight="1" x14ac:dyDescent="0.35">
      <c r="A12" s="65" t="s">
        <v>140</v>
      </c>
      <c r="B12" s="80">
        <v>0</v>
      </c>
      <c r="C12" s="75">
        <v>966</v>
      </c>
      <c r="D12" s="80">
        <v>0</v>
      </c>
      <c r="E12" s="75">
        <v>925</v>
      </c>
      <c r="F12" s="80">
        <v>0</v>
      </c>
      <c r="G12" s="75">
        <v>884</v>
      </c>
      <c r="H12" s="80">
        <v>0</v>
      </c>
      <c r="I12" s="75">
        <v>852</v>
      </c>
      <c r="J12" s="80">
        <v>0</v>
      </c>
      <c r="K12" s="75">
        <v>780</v>
      </c>
      <c r="L12" s="80">
        <v>0</v>
      </c>
      <c r="M12" s="75">
        <v>720.4</v>
      </c>
      <c r="N12" s="80">
        <v>0</v>
      </c>
      <c r="O12" s="75">
        <v>656</v>
      </c>
      <c r="P12" s="80">
        <v>0</v>
      </c>
      <c r="Q12" s="75">
        <v>603.1</v>
      </c>
      <c r="R12" s="80">
        <v>0</v>
      </c>
      <c r="S12" s="75">
        <v>568.1</v>
      </c>
      <c r="T12" s="80">
        <v>0</v>
      </c>
      <c r="U12" s="75">
        <v>507.4</v>
      </c>
      <c r="V12" s="957">
        <v>0</v>
      </c>
      <c r="W12" s="954">
        <v>463.8</v>
      </c>
      <c r="X12" s="957">
        <v>0</v>
      </c>
      <c r="Y12" s="954">
        <v>433.4</v>
      </c>
      <c r="Z12" s="81">
        <v>0</v>
      </c>
      <c r="AA12" s="954">
        <v>451.90532324368002</v>
      </c>
      <c r="AB12" s="81">
        <v>0</v>
      </c>
      <c r="AC12" s="954">
        <v>469.04450711103999</v>
      </c>
      <c r="AD12" s="81">
        <v>0</v>
      </c>
      <c r="AE12" s="954">
        <v>484</v>
      </c>
      <c r="AF12" s="81">
        <v>0</v>
      </c>
      <c r="AG12" s="954">
        <v>474.45401876087999</v>
      </c>
      <c r="AH12" s="81">
        <v>0</v>
      </c>
      <c r="AI12" s="954">
        <v>508</v>
      </c>
      <c r="AJ12" s="81">
        <v>0</v>
      </c>
      <c r="AK12" s="954">
        <v>495</v>
      </c>
      <c r="AL12" s="81">
        <v>0</v>
      </c>
      <c r="AM12" s="81">
        <v>0</v>
      </c>
      <c r="AN12" s="81">
        <v>0</v>
      </c>
      <c r="AO12" s="81">
        <v>0</v>
      </c>
      <c r="AP12" s="81">
        <v>0</v>
      </c>
      <c r="AQ12" s="81">
        <v>0</v>
      </c>
      <c r="AR12" s="81">
        <v>0</v>
      </c>
      <c r="AS12" s="81">
        <v>0</v>
      </c>
      <c r="AT12" s="81">
        <v>0</v>
      </c>
      <c r="AU12" s="81">
        <v>0</v>
      </c>
      <c r="AV12" s="81">
        <v>0</v>
      </c>
      <c r="AW12" s="81">
        <v>0</v>
      </c>
      <c r="AX12" s="81">
        <v>0</v>
      </c>
      <c r="AY12" s="81">
        <v>0</v>
      </c>
      <c r="AZ12" s="81">
        <v>0</v>
      </c>
      <c r="BA12" s="81">
        <v>0</v>
      </c>
      <c r="BB12" s="81">
        <v>0</v>
      </c>
      <c r="BC12" s="81">
        <v>0</v>
      </c>
      <c r="BD12" s="81">
        <v>0</v>
      </c>
      <c r="BE12" s="81">
        <v>0</v>
      </c>
      <c r="BF12" s="81">
        <v>0</v>
      </c>
      <c r="BG12" s="81">
        <v>0</v>
      </c>
      <c r="BH12" s="81">
        <v>0</v>
      </c>
      <c r="BI12" s="81">
        <v>0</v>
      </c>
      <c r="BJ12" s="81">
        <v>0</v>
      </c>
      <c r="BK12" s="81">
        <v>0</v>
      </c>
      <c r="BL12" s="81">
        <v>0</v>
      </c>
      <c r="BM12" s="81">
        <v>0</v>
      </c>
      <c r="BN12" s="81">
        <v>0</v>
      </c>
      <c r="BO12" s="81">
        <v>0</v>
      </c>
      <c r="BP12" s="81">
        <v>0</v>
      </c>
      <c r="BQ12" s="81">
        <v>0</v>
      </c>
      <c r="BR12" s="81">
        <v>0</v>
      </c>
      <c r="BS12" s="81">
        <v>0</v>
      </c>
      <c r="BT12" s="81">
        <v>0</v>
      </c>
      <c r="BU12" s="81">
        <v>0</v>
      </c>
    </row>
    <row r="13" spans="1:73" ht="18.899999999999999" hidden="1" customHeight="1" x14ac:dyDescent="0.35">
      <c r="A13" s="65" t="s">
        <v>153</v>
      </c>
      <c r="B13" s="75">
        <v>7328</v>
      </c>
      <c r="C13" s="80">
        <v>0</v>
      </c>
      <c r="D13" s="75">
        <v>6744</v>
      </c>
      <c r="E13" s="80">
        <v>0</v>
      </c>
      <c r="F13" s="75">
        <v>6696</v>
      </c>
      <c r="G13" s="80">
        <v>0</v>
      </c>
      <c r="H13" s="75">
        <v>6205</v>
      </c>
      <c r="I13" s="80">
        <v>0</v>
      </c>
      <c r="J13" s="75">
        <v>6412</v>
      </c>
      <c r="K13" s="80">
        <v>0</v>
      </c>
      <c r="L13" s="75">
        <v>5887</v>
      </c>
      <c r="M13" s="80">
        <v>0</v>
      </c>
      <c r="N13" s="75">
        <v>5883</v>
      </c>
      <c r="O13" s="80">
        <v>0</v>
      </c>
      <c r="P13" s="75">
        <v>5515.1</v>
      </c>
      <c r="Q13" s="80">
        <v>0</v>
      </c>
      <c r="R13" s="75">
        <v>5614.5</v>
      </c>
      <c r="S13" s="80">
        <v>0</v>
      </c>
      <c r="T13" s="75">
        <v>5278.4</v>
      </c>
      <c r="U13" s="80">
        <v>0</v>
      </c>
      <c r="V13" s="954">
        <v>5265.2</v>
      </c>
      <c r="W13" s="957">
        <v>0</v>
      </c>
      <c r="X13" s="954">
        <v>5162.7</v>
      </c>
      <c r="Y13" s="957">
        <v>0</v>
      </c>
      <c r="Z13" s="954">
        <v>5278.0250257061753</v>
      </c>
      <c r="AA13" s="79">
        <v>0</v>
      </c>
      <c r="AB13" s="954">
        <v>4718</v>
      </c>
      <c r="AC13" s="79">
        <v>0</v>
      </c>
      <c r="AD13" s="954">
        <v>4662</v>
      </c>
      <c r="AE13" s="79">
        <v>0</v>
      </c>
      <c r="AF13" s="954">
        <v>4253.2387076811174</v>
      </c>
      <c r="AG13" s="79">
        <v>0</v>
      </c>
      <c r="AH13" s="954">
        <v>4475</v>
      </c>
      <c r="AI13" s="79">
        <v>0</v>
      </c>
      <c r="AJ13" s="954">
        <v>3918</v>
      </c>
      <c r="AK13" s="79">
        <v>0</v>
      </c>
      <c r="AL13" s="954">
        <v>3991.7295700425002</v>
      </c>
      <c r="AM13" s="79">
        <v>0</v>
      </c>
      <c r="AN13" s="954">
        <v>3498</v>
      </c>
      <c r="AO13" s="79">
        <v>0</v>
      </c>
      <c r="AP13" s="954">
        <v>3573</v>
      </c>
      <c r="AQ13" s="79">
        <v>0</v>
      </c>
      <c r="AR13" s="954">
        <v>2962</v>
      </c>
      <c r="AS13" s="79">
        <v>0</v>
      </c>
      <c r="AT13" s="954">
        <v>2882</v>
      </c>
      <c r="AU13" s="79">
        <v>0</v>
      </c>
      <c r="AV13" s="954">
        <v>2392</v>
      </c>
      <c r="AW13" s="79">
        <v>0</v>
      </c>
      <c r="AX13" s="954">
        <v>2390.7565033841524</v>
      </c>
      <c r="AY13" s="79">
        <v>0</v>
      </c>
      <c r="AZ13" s="954">
        <v>1751.4598115457782</v>
      </c>
      <c r="BA13" s="79">
        <v>0</v>
      </c>
      <c r="BB13" s="954">
        <v>1734.0541160012344</v>
      </c>
      <c r="BC13" s="79">
        <v>0</v>
      </c>
      <c r="BD13" s="954">
        <v>1219</v>
      </c>
      <c r="BE13" s="79">
        <v>0</v>
      </c>
      <c r="BF13" s="954">
        <v>1236.9100000000001</v>
      </c>
      <c r="BG13" s="79">
        <v>0</v>
      </c>
      <c r="BH13" s="954">
        <v>602.39</v>
      </c>
      <c r="BI13" s="79">
        <v>0</v>
      </c>
      <c r="BJ13" s="954">
        <v>617.1288668870925</v>
      </c>
      <c r="BK13" s="79">
        <v>0</v>
      </c>
      <c r="BL13" s="79">
        <v>0</v>
      </c>
      <c r="BM13" s="79">
        <v>0</v>
      </c>
      <c r="BN13" s="79">
        <v>0</v>
      </c>
      <c r="BO13" s="79">
        <v>0</v>
      </c>
      <c r="BP13" s="79">
        <v>0</v>
      </c>
      <c r="BQ13" s="79">
        <v>0</v>
      </c>
      <c r="BR13" s="79">
        <v>0</v>
      </c>
      <c r="BS13" s="79">
        <v>0</v>
      </c>
      <c r="BT13" s="79">
        <v>0</v>
      </c>
      <c r="BU13" s="79">
        <v>0</v>
      </c>
    </row>
    <row r="14" spans="1:73" ht="18.75" hidden="1" customHeight="1" x14ac:dyDescent="0.35">
      <c r="A14" s="65" t="s">
        <v>152</v>
      </c>
      <c r="B14" s="75">
        <v>391</v>
      </c>
      <c r="C14" s="80">
        <v>0</v>
      </c>
      <c r="D14" s="75">
        <v>363</v>
      </c>
      <c r="E14" s="80">
        <v>0</v>
      </c>
      <c r="F14" s="75">
        <v>360</v>
      </c>
      <c r="G14" s="80">
        <v>0</v>
      </c>
      <c r="H14" s="75">
        <v>336</v>
      </c>
      <c r="I14" s="80">
        <v>0</v>
      </c>
      <c r="J14" s="75">
        <v>347</v>
      </c>
      <c r="K14" s="80">
        <v>0</v>
      </c>
      <c r="L14" s="75">
        <v>321</v>
      </c>
      <c r="M14" s="80">
        <v>0</v>
      </c>
      <c r="N14" s="75">
        <v>320</v>
      </c>
      <c r="O14" s="80">
        <v>0</v>
      </c>
      <c r="P14" s="75">
        <v>301.89999999999998</v>
      </c>
      <c r="Q14" s="80">
        <v>0</v>
      </c>
      <c r="R14" s="75">
        <v>307.39999999999998</v>
      </c>
      <c r="S14" s="80">
        <v>0</v>
      </c>
      <c r="T14" s="75">
        <v>290.10000000000002</v>
      </c>
      <c r="U14" s="80">
        <v>0</v>
      </c>
      <c r="V14" s="954">
        <v>289.3</v>
      </c>
      <c r="W14" s="957">
        <v>0</v>
      </c>
      <c r="X14" s="954">
        <v>284.39999999999998</v>
      </c>
      <c r="Y14" s="957">
        <v>0</v>
      </c>
      <c r="Z14" s="954">
        <v>290.70210653904496</v>
      </c>
      <c r="AA14" s="79">
        <v>0</v>
      </c>
      <c r="AB14" s="954">
        <v>259.81854212339499</v>
      </c>
      <c r="AC14" s="79">
        <v>0</v>
      </c>
      <c r="AD14" s="954">
        <v>257</v>
      </c>
      <c r="AE14" s="79">
        <v>0</v>
      </c>
      <c r="AF14" s="954">
        <v>233.42001797020504</v>
      </c>
      <c r="AG14" s="79">
        <v>0</v>
      </c>
      <c r="AH14" s="954">
        <v>246</v>
      </c>
      <c r="AI14" s="79">
        <v>0</v>
      </c>
      <c r="AJ14" s="954">
        <v>213</v>
      </c>
      <c r="AK14" s="79">
        <v>0</v>
      </c>
      <c r="AL14" s="954">
        <v>217.27034476875002</v>
      </c>
      <c r="AM14" s="79">
        <v>0</v>
      </c>
      <c r="AN14" s="954">
        <v>187</v>
      </c>
      <c r="AO14" s="79">
        <v>0</v>
      </c>
      <c r="AP14" s="954">
        <v>191</v>
      </c>
      <c r="AQ14" s="79">
        <v>0</v>
      </c>
      <c r="AR14" s="954">
        <v>154</v>
      </c>
      <c r="AS14" s="79">
        <v>0</v>
      </c>
      <c r="AT14" s="954">
        <v>150</v>
      </c>
      <c r="AU14" s="79">
        <v>0</v>
      </c>
      <c r="AV14" s="954">
        <v>118</v>
      </c>
      <c r="AW14" s="79">
        <v>0</v>
      </c>
      <c r="AX14" s="954">
        <v>118.21207190796002</v>
      </c>
      <c r="AY14" s="79">
        <v>0</v>
      </c>
      <c r="AZ14" s="954">
        <v>77.956306445745028</v>
      </c>
      <c r="BA14" s="79">
        <v>0</v>
      </c>
      <c r="BB14" s="954">
        <v>77.181590561985018</v>
      </c>
      <c r="BC14" s="79">
        <v>0</v>
      </c>
      <c r="BD14" s="954">
        <v>41</v>
      </c>
      <c r="BE14" s="79">
        <v>0</v>
      </c>
      <c r="BF14" s="954">
        <v>41.82</v>
      </c>
      <c r="BG14" s="79">
        <v>0</v>
      </c>
      <c r="BH14" s="79">
        <v>0</v>
      </c>
      <c r="BI14" s="79">
        <v>0</v>
      </c>
      <c r="BJ14" s="79">
        <v>0</v>
      </c>
      <c r="BK14" s="79">
        <v>0</v>
      </c>
      <c r="BL14" s="79">
        <v>0</v>
      </c>
      <c r="BM14" s="79">
        <v>0</v>
      </c>
      <c r="BN14" s="79">
        <v>0</v>
      </c>
      <c r="BO14" s="79">
        <v>0</v>
      </c>
      <c r="BP14" s="79">
        <v>0</v>
      </c>
      <c r="BQ14" s="79">
        <v>0</v>
      </c>
      <c r="BR14" s="79">
        <v>0</v>
      </c>
      <c r="BS14" s="79">
        <v>0</v>
      </c>
      <c r="BT14" s="79">
        <v>0</v>
      </c>
      <c r="BU14" s="79">
        <v>0</v>
      </c>
    </row>
    <row r="15" spans="1:73" ht="17.399999999999999" customHeight="1" x14ac:dyDescent="0.35">
      <c r="A15" s="65" t="s">
        <v>136</v>
      </c>
      <c r="B15" s="75">
        <v>2567</v>
      </c>
      <c r="C15" s="80">
        <v>0</v>
      </c>
      <c r="D15" s="75">
        <v>2708</v>
      </c>
      <c r="E15" s="80">
        <v>0</v>
      </c>
      <c r="F15" s="75">
        <v>2992</v>
      </c>
      <c r="G15" s="80">
        <v>0</v>
      </c>
      <c r="H15" s="75">
        <v>3150</v>
      </c>
      <c r="I15" s="80">
        <v>0</v>
      </c>
      <c r="J15" s="75">
        <v>3224</v>
      </c>
      <c r="K15" s="80">
        <v>0</v>
      </c>
      <c r="L15" s="75">
        <v>3362</v>
      </c>
      <c r="M15" s="80">
        <v>0</v>
      </c>
      <c r="N15" s="75">
        <v>3336</v>
      </c>
      <c r="O15" s="80">
        <v>0</v>
      </c>
      <c r="P15" s="75">
        <v>3386.6</v>
      </c>
      <c r="Q15" s="80">
        <v>0</v>
      </c>
      <c r="R15" s="75">
        <v>3428.1</v>
      </c>
      <c r="S15" s="80">
        <v>0</v>
      </c>
      <c r="T15" s="75">
        <v>3511.7</v>
      </c>
      <c r="U15" s="80">
        <v>0</v>
      </c>
      <c r="V15" s="954">
        <v>3484.3</v>
      </c>
      <c r="W15" s="957">
        <v>0</v>
      </c>
      <c r="X15" s="954">
        <v>3634.5</v>
      </c>
      <c r="Y15" s="957">
        <v>5.0999999999999996</v>
      </c>
      <c r="Z15" s="954">
        <v>3623</v>
      </c>
      <c r="AA15" s="957">
        <v>5.3628302787599997</v>
      </c>
      <c r="AB15" s="954">
        <v>3474.5362502368603</v>
      </c>
      <c r="AC15" s="957">
        <v>5.5662236212800007</v>
      </c>
      <c r="AD15" s="954">
        <v>3433</v>
      </c>
      <c r="AE15" s="957">
        <v>6</v>
      </c>
      <c r="AF15" s="954">
        <v>3397.9101032503982</v>
      </c>
      <c r="AG15" s="957">
        <v>5.6304191316599992</v>
      </c>
      <c r="AH15" s="954">
        <v>3575</v>
      </c>
      <c r="AI15" s="957">
        <v>6</v>
      </c>
      <c r="AJ15" s="954">
        <v>3445</v>
      </c>
      <c r="AK15" s="957">
        <v>6</v>
      </c>
      <c r="AL15" s="954">
        <v>3509.5769515462489</v>
      </c>
      <c r="AM15" s="957">
        <v>5.8413924960600001</v>
      </c>
      <c r="AN15" s="954">
        <v>3588</v>
      </c>
      <c r="AO15" s="957">
        <v>6</v>
      </c>
      <c r="AP15" s="954">
        <v>3524</v>
      </c>
      <c r="AQ15" s="957">
        <v>6</v>
      </c>
      <c r="AR15" s="954">
        <v>3365</v>
      </c>
      <c r="AS15" s="957">
        <v>5</v>
      </c>
      <c r="AT15" s="954">
        <v>3275</v>
      </c>
      <c r="AU15" s="957">
        <v>6</v>
      </c>
      <c r="AV15" s="954">
        <v>3256</v>
      </c>
      <c r="AW15" s="79">
        <v>0</v>
      </c>
      <c r="AX15" s="954">
        <v>3254.0299110432711</v>
      </c>
      <c r="AY15" s="79">
        <v>0</v>
      </c>
      <c r="AZ15" s="954">
        <v>3063.3200354848918</v>
      </c>
      <c r="BA15" s="79">
        <v>0</v>
      </c>
      <c r="BB15" s="954">
        <v>3057.2993719792285</v>
      </c>
      <c r="BC15" s="79">
        <v>0</v>
      </c>
      <c r="BD15" s="954">
        <v>3208</v>
      </c>
      <c r="BE15" s="79">
        <v>0</v>
      </c>
      <c r="BF15" s="954">
        <v>3125.82</v>
      </c>
      <c r="BG15" s="79">
        <v>0</v>
      </c>
      <c r="BH15" s="954">
        <v>3038.54</v>
      </c>
      <c r="BI15" s="79">
        <v>0</v>
      </c>
      <c r="BJ15" s="954">
        <v>2966.9079195651966</v>
      </c>
      <c r="BK15" s="79"/>
      <c r="BL15" s="954">
        <v>2865.3</v>
      </c>
      <c r="BM15" s="79"/>
      <c r="BN15" s="954">
        <v>2694</v>
      </c>
      <c r="BO15" s="79"/>
      <c r="BP15" s="954">
        <v>2713</v>
      </c>
      <c r="BQ15" s="79"/>
      <c r="BR15" s="1129">
        <v>2955</v>
      </c>
      <c r="BS15" s="79"/>
      <c r="BT15" s="984">
        <v>3002</v>
      </c>
      <c r="BU15" s="79"/>
    </row>
    <row r="16" spans="1:73" ht="18.75" hidden="1" customHeight="1" x14ac:dyDescent="0.35">
      <c r="A16" s="65" t="s">
        <v>134</v>
      </c>
      <c r="B16" s="80">
        <v>0</v>
      </c>
      <c r="C16" s="75">
        <v>119</v>
      </c>
      <c r="D16" s="80">
        <v>0</v>
      </c>
      <c r="E16" s="75">
        <v>111</v>
      </c>
      <c r="F16" s="80">
        <v>0</v>
      </c>
      <c r="G16" s="75">
        <v>111</v>
      </c>
      <c r="H16" s="80">
        <v>0</v>
      </c>
      <c r="I16" s="75">
        <v>103</v>
      </c>
      <c r="J16" s="80">
        <v>0</v>
      </c>
      <c r="K16" s="75">
        <v>101</v>
      </c>
      <c r="L16" s="80">
        <v>0</v>
      </c>
      <c r="M16" s="75">
        <v>89.3</v>
      </c>
      <c r="N16" s="80">
        <v>0</v>
      </c>
      <c r="O16" s="75">
        <v>87</v>
      </c>
      <c r="P16" s="80">
        <v>0</v>
      </c>
      <c r="Q16" s="75">
        <v>77</v>
      </c>
      <c r="R16" s="80">
        <v>0</v>
      </c>
      <c r="S16" s="75">
        <v>79</v>
      </c>
      <c r="T16" s="80">
        <v>0</v>
      </c>
      <c r="U16" s="75">
        <v>67.599999999999994</v>
      </c>
      <c r="V16" s="957">
        <v>0</v>
      </c>
      <c r="W16" s="954">
        <v>69.2</v>
      </c>
      <c r="X16" s="957">
        <v>0</v>
      </c>
      <c r="Y16" s="954">
        <v>73.5</v>
      </c>
      <c r="Z16" s="81">
        <v>0</v>
      </c>
      <c r="AA16" s="954">
        <v>64.305207475686004</v>
      </c>
      <c r="AB16" s="81">
        <v>0</v>
      </c>
      <c r="AC16" s="954">
        <v>53.786525046240008</v>
      </c>
      <c r="AD16" s="81">
        <v>0</v>
      </c>
      <c r="AE16" s="954">
        <v>56</v>
      </c>
      <c r="AF16" s="81">
        <v>0</v>
      </c>
      <c r="AG16" s="954">
        <v>41.110303432578007</v>
      </c>
      <c r="AH16" s="81">
        <v>0</v>
      </c>
      <c r="AI16" s="954">
        <v>44</v>
      </c>
      <c r="AJ16" s="81">
        <v>0</v>
      </c>
      <c r="AK16" s="954">
        <v>29</v>
      </c>
      <c r="AL16" s="81">
        <v>0</v>
      </c>
      <c r="AM16" s="954">
        <v>28.647935615882005</v>
      </c>
      <c r="AN16" s="81">
        <v>0</v>
      </c>
      <c r="AO16" s="954">
        <v>14</v>
      </c>
      <c r="AP16" s="81">
        <v>0</v>
      </c>
      <c r="AQ16" s="954">
        <v>14</v>
      </c>
      <c r="AR16" s="81">
        <v>0</v>
      </c>
      <c r="AS16" s="81">
        <v>0</v>
      </c>
      <c r="AT16" s="81">
        <v>0</v>
      </c>
      <c r="AU16" s="81">
        <v>0</v>
      </c>
      <c r="AV16" s="81">
        <v>0</v>
      </c>
      <c r="AW16" s="81">
        <v>0</v>
      </c>
      <c r="AX16" s="81">
        <v>0</v>
      </c>
      <c r="AY16" s="81">
        <v>0</v>
      </c>
      <c r="AZ16" s="81">
        <v>0</v>
      </c>
      <c r="BA16" s="81">
        <v>0</v>
      </c>
      <c r="BB16" s="81">
        <v>0</v>
      </c>
      <c r="BC16" s="81">
        <v>0</v>
      </c>
      <c r="BD16" s="81">
        <v>0</v>
      </c>
      <c r="BE16" s="81">
        <v>0</v>
      </c>
      <c r="BF16" s="81">
        <v>0</v>
      </c>
      <c r="BG16" s="81">
        <v>0</v>
      </c>
      <c r="BH16" s="81">
        <v>0</v>
      </c>
      <c r="BI16" s="81">
        <v>0</v>
      </c>
      <c r="BJ16" s="81">
        <v>0</v>
      </c>
      <c r="BK16" s="81">
        <v>0</v>
      </c>
      <c r="BL16" s="81">
        <v>0</v>
      </c>
      <c r="BM16" s="81">
        <v>0</v>
      </c>
      <c r="BN16" s="81">
        <v>0</v>
      </c>
      <c r="BO16" s="81">
        <v>0</v>
      </c>
      <c r="BP16" s="81">
        <v>0</v>
      </c>
      <c r="BQ16" s="81">
        <v>0</v>
      </c>
      <c r="BR16" s="81">
        <v>0</v>
      </c>
      <c r="BS16" s="81">
        <v>0</v>
      </c>
      <c r="BT16" s="81">
        <v>0</v>
      </c>
      <c r="BU16" s="81">
        <v>0</v>
      </c>
    </row>
    <row r="17" spans="1:73" ht="20.399999999999999" hidden="1" customHeight="1" x14ac:dyDescent="0.35">
      <c r="A17" s="65" t="s">
        <v>151</v>
      </c>
      <c r="B17" s="75">
        <v>1250</v>
      </c>
      <c r="C17" s="80">
        <v>0</v>
      </c>
      <c r="D17" s="75">
        <v>1145</v>
      </c>
      <c r="E17" s="80">
        <v>0</v>
      </c>
      <c r="F17" s="75">
        <v>1137</v>
      </c>
      <c r="G17" s="80">
        <v>0</v>
      </c>
      <c r="H17" s="75">
        <v>1048</v>
      </c>
      <c r="I17" s="80">
        <v>0</v>
      </c>
      <c r="J17" s="75">
        <v>1083</v>
      </c>
      <c r="K17" s="80">
        <v>0</v>
      </c>
      <c r="L17" s="75">
        <v>989</v>
      </c>
      <c r="M17" s="80">
        <v>0</v>
      </c>
      <c r="N17" s="75">
        <v>988</v>
      </c>
      <c r="O17" s="80">
        <v>0</v>
      </c>
      <c r="P17" s="75">
        <v>919.6</v>
      </c>
      <c r="Q17" s="80">
        <v>0</v>
      </c>
      <c r="R17" s="75">
        <v>936.2</v>
      </c>
      <c r="S17" s="80">
        <v>0</v>
      </c>
      <c r="T17" s="75">
        <v>872.9</v>
      </c>
      <c r="U17" s="80">
        <v>0</v>
      </c>
      <c r="V17" s="954">
        <v>870.7</v>
      </c>
      <c r="W17" s="957">
        <v>0</v>
      </c>
      <c r="X17" s="954">
        <v>845.2</v>
      </c>
      <c r="Y17" s="957">
        <v>0</v>
      </c>
      <c r="Z17" s="954">
        <v>864.10094130278924</v>
      </c>
      <c r="AA17" s="79">
        <v>0</v>
      </c>
      <c r="AB17" s="954">
        <v>762.88834007250819</v>
      </c>
      <c r="AC17" s="79">
        <v>0</v>
      </c>
      <c r="AD17" s="954">
        <v>754</v>
      </c>
      <c r="AE17" s="79">
        <v>0</v>
      </c>
      <c r="AF17" s="954">
        <v>676.98389290567127</v>
      </c>
      <c r="AG17" s="79">
        <v>0</v>
      </c>
      <c r="AH17" s="954">
        <v>712</v>
      </c>
      <c r="AI17" s="79">
        <v>0</v>
      </c>
      <c r="AJ17" s="954">
        <v>611</v>
      </c>
      <c r="AK17" s="79">
        <v>0</v>
      </c>
      <c r="AL17" s="954">
        <v>622.39321272374912</v>
      </c>
      <c r="AM17" s="79">
        <v>0</v>
      </c>
      <c r="AN17" s="954">
        <v>530</v>
      </c>
      <c r="AO17" s="79">
        <v>0</v>
      </c>
      <c r="AP17" s="954">
        <v>542</v>
      </c>
      <c r="AQ17" s="79">
        <v>0</v>
      </c>
      <c r="AR17" s="954">
        <v>431</v>
      </c>
      <c r="AS17" s="79">
        <v>0</v>
      </c>
      <c r="AT17" s="954">
        <v>420</v>
      </c>
      <c r="AU17" s="79">
        <v>0</v>
      </c>
      <c r="AV17" s="954">
        <v>326</v>
      </c>
      <c r="AW17" s="79">
        <v>0</v>
      </c>
      <c r="AX17" s="954">
        <v>326.17235079619115</v>
      </c>
      <c r="AY17" s="79">
        <v>0</v>
      </c>
      <c r="AZ17" s="954">
        <v>212.40241978767213</v>
      </c>
      <c r="BA17" s="79">
        <v>0</v>
      </c>
      <c r="BB17" s="954">
        <v>210.29160238416816</v>
      </c>
      <c r="BC17" s="79">
        <v>0</v>
      </c>
      <c r="BD17" s="954">
        <v>111</v>
      </c>
      <c r="BE17" s="79">
        <v>0</v>
      </c>
      <c r="BF17" s="954">
        <v>112.5</v>
      </c>
      <c r="BG17" s="79">
        <v>0</v>
      </c>
      <c r="BH17" s="79">
        <v>0</v>
      </c>
      <c r="BI17" s="79">
        <v>0</v>
      </c>
      <c r="BJ17" s="79">
        <v>0</v>
      </c>
      <c r="BK17" s="79">
        <v>0</v>
      </c>
      <c r="BL17" s="79">
        <v>0</v>
      </c>
      <c r="BM17" s="79">
        <v>0</v>
      </c>
      <c r="BN17" s="79">
        <v>0</v>
      </c>
      <c r="BO17" s="79">
        <v>0</v>
      </c>
      <c r="BP17" s="79">
        <v>0</v>
      </c>
      <c r="BQ17" s="79">
        <v>0</v>
      </c>
      <c r="BR17" s="79">
        <v>0</v>
      </c>
      <c r="BS17" s="79">
        <v>0</v>
      </c>
      <c r="BT17" s="79">
        <v>0</v>
      </c>
      <c r="BU17" s="79">
        <v>0</v>
      </c>
    </row>
    <row r="18" spans="1:73" ht="18.899999999999999" customHeight="1" x14ac:dyDescent="0.35">
      <c r="A18" s="65" t="s">
        <v>150</v>
      </c>
      <c r="B18" s="80">
        <v>0</v>
      </c>
      <c r="C18" s="80">
        <v>0</v>
      </c>
      <c r="D18" s="80">
        <v>0</v>
      </c>
      <c r="E18" s="80">
        <v>0</v>
      </c>
      <c r="F18" s="80">
        <v>0</v>
      </c>
      <c r="G18" s="80">
        <v>0</v>
      </c>
      <c r="H18" s="80">
        <v>0</v>
      </c>
      <c r="I18" s="80">
        <v>0</v>
      </c>
      <c r="J18" s="75">
        <v>788</v>
      </c>
      <c r="K18" s="80">
        <v>0</v>
      </c>
      <c r="L18" s="75">
        <v>1506</v>
      </c>
      <c r="M18" s="80">
        <v>0</v>
      </c>
      <c r="N18" s="75">
        <v>1576</v>
      </c>
      <c r="O18" s="80">
        <v>0</v>
      </c>
      <c r="P18" s="75">
        <v>1601.3</v>
      </c>
      <c r="Q18" s="80">
        <v>0</v>
      </c>
      <c r="R18" s="75">
        <v>1744.7</v>
      </c>
      <c r="S18" s="80">
        <v>0</v>
      </c>
      <c r="T18" s="75">
        <v>1789.4</v>
      </c>
      <c r="U18" s="80">
        <v>0</v>
      </c>
      <c r="V18" s="954">
        <v>2171.5</v>
      </c>
      <c r="W18" s="957">
        <v>0</v>
      </c>
      <c r="X18" s="954">
        <v>2342.1999999999998</v>
      </c>
      <c r="Y18" s="957">
        <v>0</v>
      </c>
      <c r="Z18" s="954">
        <v>2394.4760037354999</v>
      </c>
      <c r="AA18" s="79">
        <v>0</v>
      </c>
      <c r="AB18" s="954">
        <v>2378.2609766104997</v>
      </c>
      <c r="AC18" s="79">
        <v>0</v>
      </c>
      <c r="AD18" s="954">
        <v>2500</v>
      </c>
      <c r="AE18" s="79">
        <v>0</v>
      </c>
      <c r="AF18" s="954">
        <v>2566.0342366417003</v>
      </c>
      <c r="AG18" s="79">
        <v>0</v>
      </c>
      <c r="AH18" s="954">
        <v>2799</v>
      </c>
      <c r="AI18" s="79">
        <v>0</v>
      </c>
      <c r="AJ18" s="954">
        <v>2936</v>
      </c>
      <c r="AK18" s="79">
        <v>0</v>
      </c>
      <c r="AL18" s="954">
        <v>3232.9951875000002</v>
      </c>
      <c r="AM18" s="79">
        <v>0</v>
      </c>
      <c r="AN18" s="954">
        <v>3305</v>
      </c>
      <c r="AO18" s="79">
        <v>0</v>
      </c>
      <c r="AP18" s="954">
        <v>3376</v>
      </c>
      <c r="AQ18" s="79">
        <v>0</v>
      </c>
      <c r="AR18" s="954">
        <v>3358</v>
      </c>
      <c r="AS18" s="79">
        <v>0</v>
      </c>
      <c r="AT18" s="954">
        <v>3267</v>
      </c>
      <c r="AU18" s="79">
        <v>0</v>
      </c>
      <c r="AV18" s="954">
        <v>3390</v>
      </c>
      <c r="AW18" s="79">
        <v>0</v>
      </c>
      <c r="AX18" s="954">
        <v>3388.5768636000003</v>
      </c>
      <c r="AY18" s="79">
        <v>0</v>
      </c>
      <c r="AZ18" s="954">
        <v>3309.9459994499998</v>
      </c>
      <c r="BA18" s="79">
        <v>0</v>
      </c>
      <c r="BB18" s="954">
        <v>3277.0523458500002</v>
      </c>
      <c r="BC18" s="79">
        <v>0</v>
      </c>
      <c r="BD18" s="954">
        <v>3456</v>
      </c>
      <c r="BE18" s="79">
        <v>0</v>
      </c>
      <c r="BF18" s="954">
        <v>3506.32</v>
      </c>
      <c r="BG18" s="79">
        <v>0</v>
      </c>
      <c r="BH18" s="954">
        <v>3415.21</v>
      </c>
      <c r="BI18" s="79">
        <v>0</v>
      </c>
      <c r="BJ18" s="954">
        <v>3498.7897616499999</v>
      </c>
      <c r="BK18" s="79">
        <v>0</v>
      </c>
      <c r="BL18" s="954">
        <v>3395.4</v>
      </c>
      <c r="BM18" s="79">
        <v>0</v>
      </c>
      <c r="BN18" s="954">
        <v>3352</v>
      </c>
      <c r="BO18" s="79">
        <v>0</v>
      </c>
      <c r="BP18" s="954">
        <v>3265</v>
      </c>
      <c r="BQ18" s="79">
        <v>0</v>
      </c>
      <c r="BR18" s="984">
        <v>3275</v>
      </c>
      <c r="BS18" s="79">
        <v>0</v>
      </c>
      <c r="BT18" s="984">
        <v>3204</v>
      </c>
      <c r="BU18" s="79">
        <v>0</v>
      </c>
    </row>
    <row r="19" spans="1:73" ht="40.75" customHeight="1" x14ac:dyDescent="0.35">
      <c r="A19" s="78" t="s">
        <v>149</v>
      </c>
      <c r="B19" s="74">
        <v>0</v>
      </c>
      <c r="C19" s="74">
        <v>0</v>
      </c>
      <c r="D19" s="74">
        <v>0</v>
      </c>
      <c r="E19" s="74">
        <v>0</v>
      </c>
      <c r="F19" s="74">
        <v>0</v>
      </c>
      <c r="G19" s="74">
        <v>0</v>
      </c>
      <c r="H19" s="74">
        <v>0</v>
      </c>
      <c r="I19" s="74">
        <v>0</v>
      </c>
      <c r="J19" s="74">
        <v>0</v>
      </c>
      <c r="K19" s="74">
        <v>0</v>
      </c>
      <c r="L19" s="74">
        <v>0</v>
      </c>
      <c r="M19" s="74">
        <v>0</v>
      </c>
      <c r="N19" s="74">
        <v>0</v>
      </c>
      <c r="O19" s="74">
        <v>0</v>
      </c>
      <c r="P19" s="74">
        <v>0</v>
      </c>
      <c r="Q19" s="74">
        <v>0</v>
      </c>
      <c r="R19" s="74">
        <v>0</v>
      </c>
      <c r="S19" s="74">
        <v>0</v>
      </c>
      <c r="T19" s="75">
        <v>60.1</v>
      </c>
      <c r="U19" s="74">
        <v>0</v>
      </c>
      <c r="V19" s="954">
        <v>190.3</v>
      </c>
      <c r="W19" s="953">
        <v>0</v>
      </c>
      <c r="X19" s="954">
        <v>2805.6</v>
      </c>
      <c r="Y19" s="953">
        <v>0</v>
      </c>
      <c r="Z19" s="954">
        <v>4005.2224570835178</v>
      </c>
      <c r="AA19" s="953">
        <v>0</v>
      </c>
      <c r="AB19" s="954">
        <v>5448.8674228804675</v>
      </c>
      <c r="AC19" s="953">
        <v>0</v>
      </c>
      <c r="AD19" s="954">
        <v>6353</v>
      </c>
      <c r="AE19" s="77">
        <v>0</v>
      </c>
      <c r="AF19" s="954">
        <v>7717.2478112410126</v>
      </c>
      <c r="AG19" s="77">
        <v>0</v>
      </c>
      <c r="AH19" s="954">
        <v>9025</v>
      </c>
      <c r="AI19" s="77">
        <v>0</v>
      </c>
      <c r="AJ19" s="954">
        <v>9887.7000000000007</v>
      </c>
      <c r="AK19" s="77">
        <v>0</v>
      </c>
      <c r="AL19" s="954">
        <v>10498.851477656201</v>
      </c>
      <c r="AM19" s="77">
        <v>0</v>
      </c>
      <c r="AN19" s="954">
        <v>11320.89</v>
      </c>
      <c r="AO19" s="77">
        <v>0</v>
      </c>
      <c r="AP19" s="954">
        <v>12905</v>
      </c>
      <c r="AQ19" s="77">
        <v>0</v>
      </c>
      <c r="AR19" s="954">
        <v>14146</v>
      </c>
      <c r="AS19" s="77">
        <v>0</v>
      </c>
      <c r="AT19" s="954">
        <v>15639</v>
      </c>
      <c r="AU19" s="77">
        <v>0</v>
      </c>
      <c r="AV19" s="954">
        <v>17161</v>
      </c>
      <c r="AW19" s="77">
        <v>0</v>
      </c>
      <c r="AX19" s="954">
        <v>17317.3</v>
      </c>
      <c r="AY19" s="77">
        <v>0</v>
      </c>
      <c r="AZ19" s="954">
        <v>16612.060754316626</v>
      </c>
      <c r="BA19" s="77">
        <v>0</v>
      </c>
      <c r="BB19" s="954">
        <v>16682.757082432501</v>
      </c>
      <c r="BC19" s="77">
        <v>0</v>
      </c>
      <c r="BD19" s="954">
        <v>17656.5</v>
      </c>
      <c r="BE19" s="77">
        <v>0</v>
      </c>
      <c r="BF19" s="954">
        <v>17945.8</v>
      </c>
      <c r="BG19" s="77">
        <v>0</v>
      </c>
      <c r="BH19" s="954">
        <v>17584</v>
      </c>
      <c r="BI19" s="77">
        <v>0</v>
      </c>
      <c r="BJ19" s="954">
        <v>18088.069291115804</v>
      </c>
      <c r="BK19" s="77">
        <v>0</v>
      </c>
      <c r="BL19" s="954">
        <v>17614.3</v>
      </c>
      <c r="BM19" s="77">
        <v>0</v>
      </c>
      <c r="BN19" s="954">
        <v>17482.3</v>
      </c>
      <c r="BO19" s="77">
        <v>0</v>
      </c>
      <c r="BP19" s="954">
        <v>17855</v>
      </c>
      <c r="BQ19" s="77">
        <v>0</v>
      </c>
      <c r="BR19" s="984">
        <v>17952</v>
      </c>
      <c r="BS19" s="77">
        <v>0</v>
      </c>
      <c r="BT19" s="984">
        <v>18422</v>
      </c>
      <c r="BU19" s="77">
        <v>0</v>
      </c>
    </row>
    <row r="20" spans="1:73" ht="18" customHeight="1" x14ac:dyDescent="0.35">
      <c r="A20" s="76" t="s">
        <v>148</v>
      </c>
      <c r="B20" s="74"/>
      <c r="C20" s="74"/>
      <c r="D20" s="74"/>
      <c r="E20" s="74"/>
      <c r="F20" s="74"/>
      <c r="G20" s="74"/>
      <c r="H20" s="74"/>
      <c r="I20" s="74"/>
      <c r="J20" s="74"/>
      <c r="K20" s="74"/>
      <c r="L20" s="74"/>
      <c r="M20" s="74"/>
      <c r="N20" s="74"/>
      <c r="O20" s="74"/>
      <c r="P20" s="74"/>
      <c r="Q20" s="74"/>
      <c r="R20" s="74"/>
      <c r="S20" s="74"/>
      <c r="T20" s="75"/>
      <c r="U20" s="74"/>
      <c r="V20" s="954"/>
      <c r="W20" s="953"/>
      <c r="X20" s="951">
        <v>2313.34</v>
      </c>
      <c r="Y20" s="952"/>
      <c r="Z20" s="951">
        <v>3498.43</v>
      </c>
      <c r="AA20" s="952"/>
      <c r="AB20" s="951">
        <v>4865.6899999999996</v>
      </c>
      <c r="AC20" s="952"/>
      <c r="AD20" s="951">
        <v>5765.43</v>
      </c>
      <c r="AE20" s="73"/>
      <c r="AF20" s="951">
        <v>6940.6</v>
      </c>
      <c r="AG20" s="73"/>
      <c r="AH20" s="951">
        <v>7970.1</v>
      </c>
      <c r="AI20" s="73"/>
      <c r="AJ20" s="951">
        <v>8745.66</v>
      </c>
      <c r="AK20" s="73"/>
      <c r="AL20" s="951">
        <v>9196.6299999999992</v>
      </c>
      <c r="AM20" s="73"/>
      <c r="AN20" s="951">
        <v>9844.33</v>
      </c>
      <c r="AO20" s="73"/>
      <c r="AP20" s="951">
        <v>11142.85</v>
      </c>
      <c r="AQ20" s="73"/>
      <c r="AR20" s="951">
        <v>12544.57</v>
      </c>
      <c r="AS20" s="73"/>
      <c r="AT20" s="951" t="s">
        <v>147</v>
      </c>
      <c r="AU20" s="73"/>
      <c r="AV20" s="951">
        <v>15042.55</v>
      </c>
      <c r="AW20" s="73"/>
      <c r="AX20" s="951">
        <v>15035.78</v>
      </c>
      <c r="AY20" s="73"/>
      <c r="AZ20" s="951">
        <v>14836.38</v>
      </c>
      <c r="BA20" s="73"/>
      <c r="BB20" s="951">
        <v>14836.02</v>
      </c>
      <c r="BC20" s="73"/>
      <c r="BD20" s="951">
        <v>15655.15</v>
      </c>
      <c r="BE20" s="73"/>
      <c r="BF20" s="951">
        <v>15884.554719179099</v>
      </c>
      <c r="BG20" s="73"/>
      <c r="BH20" s="951">
        <v>15471.82</v>
      </c>
      <c r="BI20" s="72">
        <v>0</v>
      </c>
      <c r="BJ20" s="951">
        <v>15850.44</v>
      </c>
      <c r="BK20" s="72">
        <v>0</v>
      </c>
      <c r="BL20" s="951">
        <v>15382</v>
      </c>
      <c r="BM20" s="72">
        <v>0</v>
      </c>
      <c r="BN20" s="951">
        <v>15183</v>
      </c>
      <c r="BO20" s="72">
        <v>0</v>
      </c>
      <c r="BP20" s="951">
        <v>15385</v>
      </c>
      <c r="BQ20" s="72">
        <v>0</v>
      </c>
      <c r="BR20" s="985">
        <v>15428</v>
      </c>
      <c r="BS20" s="72">
        <v>0</v>
      </c>
      <c r="BT20" s="985">
        <v>15726</v>
      </c>
      <c r="BU20" s="72">
        <v>0</v>
      </c>
    </row>
    <row r="21" spans="1:73" ht="18" customHeight="1" x14ac:dyDescent="0.35">
      <c r="A21" s="956" t="s">
        <v>797</v>
      </c>
      <c r="B21" s="955">
        <v>11536</v>
      </c>
      <c r="C21" s="955">
        <v>1085</v>
      </c>
      <c r="D21" s="955">
        <v>10960</v>
      </c>
      <c r="E21" s="955">
        <v>1036</v>
      </c>
      <c r="F21" s="955">
        <v>11185</v>
      </c>
      <c r="G21" s="955">
        <v>995</v>
      </c>
      <c r="H21" s="955">
        <v>10739</v>
      </c>
      <c r="I21" s="955">
        <v>955</v>
      </c>
      <c r="J21" s="955">
        <v>11854</v>
      </c>
      <c r="K21" s="955">
        <v>881</v>
      </c>
      <c r="L21" s="955">
        <v>12065</v>
      </c>
      <c r="M21" s="955">
        <v>809.69999999999993</v>
      </c>
      <c r="N21" s="955">
        <v>12103</v>
      </c>
      <c r="O21" s="955">
        <v>743</v>
      </c>
      <c r="P21" s="955">
        <v>11724.5</v>
      </c>
      <c r="Q21" s="955">
        <v>680.1</v>
      </c>
      <c r="R21" s="955">
        <v>12030.900000000001</v>
      </c>
      <c r="S21" s="955">
        <v>647.1</v>
      </c>
      <c r="T21" s="955">
        <v>11802.6</v>
      </c>
      <c r="U21" s="955">
        <v>575</v>
      </c>
      <c r="V21" s="955">
        <v>12271.3</v>
      </c>
      <c r="W21" s="955">
        <v>533</v>
      </c>
      <c r="X21" s="955">
        <v>15074.6</v>
      </c>
      <c r="Y21" s="955">
        <v>512</v>
      </c>
      <c r="Z21" s="955">
        <v>16455.526534367025</v>
      </c>
      <c r="AA21" s="955">
        <v>521.57336099812596</v>
      </c>
      <c r="AB21" s="955">
        <v>17042.371531923731</v>
      </c>
      <c r="AC21" s="955">
        <v>528.39725577856007</v>
      </c>
      <c r="AD21" s="955">
        <v>17959</v>
      </c>
      <c r="AE21" s="955">
        <v>546</v>
      </c>
      <c r="AF21" s="955">
        <v>18844.834769690104</v>
      </c>
      <c r="AG21" s="955">
        <v>521.194741325118</v>
      </c>
      <c r="AH21" s="955">
        <v>20832</v>
      </c>
      <c r="AI21" s="955">
        <v>558</v>
      </c>
      <c r="AJ21" s="955">
        <v>21010.7</v>
      </c>
      <c r="AK21" s="955">
        <v>530</v>
      </c>
      <c r="AL21" s="955">
        <v>22072.816744237447</v>
      </c>
      <c r="AM21" s="955">
        <v>34.489328111942008</v>
      </c>
      <c r="AN21" s="955">
        <v>22428.89</v>
      </c>
      <c r="AO21" s="955">
        <v>20</v>
      </c>
      <c r="AP21" s="955">
        <v>24111</v>
      </c>
      <c r="AQ21" s="955">
        <v>20</v>
      </c>
      <c r="AR21" s="955">
        <v>24416</v>
      </c>
      <c r="AS21" s="955">
        <v>5</v>
      </c>
      <c r="AT21" s="955">
        <v>25633</v>
      </c>
      <c r="AU21" s="955">
        <v>6</v>
      </c>
      <c r="AV21" s="955">
        <v>26643</v>
      </c>
      <c r="AW21" s="955">
        <v>0</v>
      </c>
      <c r="AX21" s="955">
        <v>26795.047700731575</v>
      </c>
      <c r="AY21" s="955">
        <v>0</v>
      </c>
      <c r="AZ21" s="955">
        <v>25027.145327030714</v>
      </c>
      <c r="BA21" s="955">
        <v>0</v>
      </c>
      <c r="BB21" s="955">
        <v>25038.636109209117</v>
      </c>
      <c r="BC21" s="955">
        <v>0</v>
      </c>
      <c r="BD21" s="955">
        <v>25691.5</v>
      </c>
      <c r="BE21" s="955">
        <v>0</v>
      </c>
      <c r="BF21" s="955">
        <v>25969.17</v>
      </c>
      <c r="BG21" s="955">
        <v>0</v>
      </c>
      <c r="BH21" s="955">
        <v>24640.14</v>
      </c>
      <c r="BI21" s="955">
        <v>0</v>
      </c>
      <c r="BJ21" s="955">
        <v>25170.895839218094</v>
      </c>
      <c r="BK21" s="955">
        <v>0</v>
      </c>
      <c r="BL21" s="955">
        <v>23875</v>
      </c>
      <c r="BM21" s="955">
        <v>0</v>
      </c>
      <c r="BN21" s="955">
        <v>23528.3</v>
      </c>
      <c r="BO21" s="955">
        <v>0</v>
      </c>
      <c r="BP21" s="955">
        <v>23833</v>
      </c>
      <c r="BQ21" s="955">
        <v>0</v>
      </c>
      <c r="BR21" s="955">
        <v>24182</v>
      </c>
      <c r="BS21" s="955">
        <v>0</v>
      </c>
      <c r="BT21" s="955">
        <v>24628</v>
      </c>
      <c r="BU21" s="955">
        <v>0</v>
      </c>
    </row>
    <row r="22" spans="1:73" ht="18" customHeight="1" x14ac:dyDescent="0.35">
      <c r="A22" s="76"/>
      <c r="B22" s="74"/>
      <c r="C22" s="74"/>
      <c r="D22" s="74"/>
      <c r="E22" s="74"/>
      <c r="F22" s="74"/>
      <c r="G22" s="74"/>
      <c r="H22" s="74"/>
      <c r="I22" s="74"/>
      <c r="J22" s="74"/>
      <c r="K22" s="74"/>
      <c r="L22" s="74"/>
      <c r="M22" s="74"/>
      <c r="N22" s="74"/>
      <c r="O22" s="74"/>
      <c r="P22" s="74"/>
      <c r="Q22" s="74"/>
      <c r="R22" s="74"/>
      <c r="S22" s="74"/>
      <c r="T22" s="75"/>
      <c r="U22" s="74"/>
      <c r="V22" s="954"/>
      <c r="W22" s="953"/>
      <c r="X22" s="951"/>
      <c r="Y22" s="952"/>
      <c r="Z22" s="951"/>
      <c r="AA22" s="952"/>
      <c r="AB22" s="951"/>
      <c r="AC22" s="952"/>
      <c r="AD22" s="951"/>
      <c r="AE22" s="73"/>
      <c r="AF22" s="951"/>
      <c r="AG22" s="73"/>
      <c r="AH22" s="951"/>
      <c r="AI22" s="73"/>
      <c r="AJ22" s="951"/>
      <c r="AK22" s="73"/>
      <c r="AL22" s="951"/>
      <c r="AM22" s="73"/>
      <c r="AN22" s="951"/>
      <c r="AO22" s="73"/>
      <c r="AP22" s="951"/>
      <c r="AQ22" s="73"/>
      <c r="AR22" s="951"/>
      <c r="AS22" s="73"/>
      <c r="AT22" s="951"/>
      <c r="AU22" s="73"/>
      <c r="AV22" s="951"/>
      <c r="AW22" s="73"/>
      <c r="AX22" s="951"/>
      <c r="AY22" s="73"/>
      <c r="AZ22" s="951"/>
      <c r="BA22" s="73"/>
      <c r="BB22" s="951"/>
      <c r="BC22" s="73"/>
      <c r="BD22" s="951"/>
      <c r="BE22" s="73"/>
      <c r="BF22" s="951"/>
      <c r="BG22" s="73"/>
      <c r="BH22" s="951"/>
      <c r="BI22" s="72"/>
      <c r="BJ22" s="951"/>
      <c r="BK22" s="72"/>
      <c r="BL22" s="951"/>
      <c r="BM22" s="72"/>
      <c r="BN22" s="951"/>
      <c r="BO22" s="72"/>
      <c r="BP22" s="951"/>
      <c r="BQ22" s="72"/>
      <c r="BR22" s="951"/>
      <c r="BS22" s="72"/>
      <c r="BT22" s="951"/>
      <c r="BU22" s="72"/>
    </row>
    <row r="23" spans="1:73" ht="20" customHeight="1" x14ac:dyDescent="0.35">
      <c r="A23" s="64" t="s">
        <v>112</v>
      </c>
      <c r="B23" s="71">
        <v>11536</v>
      </c>
      <c r="C23" s="71">
        <v>1085</v>
      </c>
      <c r="D23" s="71">
        <v>10960</v>
      </c>
      <c r="E23" s="71">
        <v>1036</v>
      </c>
      <c r="F23" s="71">
        <v>11185</v>
      </c>
      <c r="G23" s="71">
        <v>995</v>
      </c>
      <c r="H23" s="71">
        <v>10739</v>
      </c>
      <c r="I23" s="71">
        <v>955</v>
      </c>
      <c r="J23" s="71">
        <v>11854</v>
      </c>
      <c r="K23" s="71">
        <v>881</v>
      </c>
      <c r="L23" s="71">
        <v>12065</v>
      </c>
      <c r="M23" s="71">
        <v>809.69999999999993</v>
      </c>
      <c r="N23" s="71">
        <v>12103</v>
      </c>
      <c r="O23" s="71">
        <v>743</v>
      </c>
      <c r="P23" s="71">
        <v>11724.5</v>
      </c>
      <c r="Q23" s="71">
        <v>680.1</v>
      </c>
      <c r="R23" s="71">
        <v>12030.900000000001</v>
      </c>
      <c r="S23" s="71">
        <v>647.1</v>
      </c>
      <c r="T23" s="71">
        <v>11802.6</v>
      </c>
      <c r="U23" s="71">
        <v>575</v>
      </c>
      <c r="V23" s="71">
        <v>15954.099999999999</v>
      </c>
      <c r="W23" s="71">
        <v>533</v>
      </c>
      <c r="X23" s="71">
        <v>19046.8</v>
      </c>
      <c r="Y23" s="71">
        <v>512</v>
      </c>
      <c r="Z23" s="71">
        <v>20516.456534367026</v>
      </c>
      <c r="AA23" s="71">
        <v>521.57336099812596</v>
      </c>
      <c r="AB23" s="71">
        <v>21075.801531923731</v>
      </c>
      <c r="AC23" s="71">
        <v>528.39725577856007</v>
      </c>
      <c r="AD23" s="71">
        <v>21945</v>
      </c>
      <c r="AE23" s="71">
        <v>546</v>
      </c>
      <c r="AF23" s="71">
        <v>22935.404769690103</v>
      </c>
      <c r="AG23" s="71">
        <v>521.194741325118</v>
      </c>
      <c r="AH23" s="71">
        <v>25135</v>
      </c>
      <c r="AI23" s="71">
        <v>558</v>
      </c>
      <c r="AJ23" s="71">
        <v>25316.7</v>
      </c>
      <c r="AK23" s="71">
        <v>530</v>
      </c>
      <c r="AL23" s="71">
        <v>26460.316744237447</v>
      </c>
      <c r="AM23" s="71">
        <v>34.489328111942008</v>
      </c>
      <c r="AN23" s="71">
        <v>26914.89</v>
      </c>
      <c r="AO23" s="71">
        <v>20</v>
      </c>
      <c r="AP23" s="71">
        <v>28693</v>
      </c>
      <c r="AQ23" s="71">
        <v>20</v>
      </c>
      <c r="AR23" s="71">
        <v>28974</v>
      </c>
      <c r="AS23" s="71">
        <v>5</v>
      </c>
      <c r="AT23" s="71">
        <v>30067</v>
      </c>
      <c r="AU23" s="71">
        <v>6</v>
      </c>
      <c r="AV23" s="71">
        <v>31244</v>
      </c>
      <c r="AW23" s="71">
        <v>0</v>
      </c>
      <c r="AX23" s="71">
        <v>31393.687700731574</v>
      </c>
      <c r="AY23" s="71">
        <v>0</v>
      </c>
      <c r="AZ23" s="71">
        <v>29519.075327030714</v>
      </c>
      <c r="BA23" s="71">
        <v>0</v>
      </c>
      <c r="BB23" s="71">
        <v>29485.926109209118</v>
      </c>
      <c r="BC23" s="71">
        <v>0</v>
      </c>
      <c r="BD23" s="71">
        <v>30381.5</v>
      </c>
      <c r="BE23" s="71">
        <v>0</v>
      </c>
      <c r="BF23" s="71">
        <v>30727.599999999999</v>
      </c>
      <c r="BG23" s="71">
        <v>0</v>
      </c>
      <c r="BH23" s="71">
        <v>28943.87</v>
      </c>
      <c r="BI23" s="71">
        <v>0</v>
      </c>
      <c r="BJ23" s="71">
        <v>29579.947982210899</v>
      </c>
      <c r="BK23" s="71">
        <v>0</v>
      </c>
      <c r="BL23" s="71">
        <v>27824.7</v>
      </c>
      <c r="BM23" s="71">
        <v>0</v>
      </c>
      <c r="BN23" s="71">
        <v>27427.3</v>
      </c>
      <c r="BO23" s="71">
        <v>0</v>
      </c>
      <c r="BP23" s="71">
        <v>27454</v>
      </c>
      <c r="BQ23" s="71">
        <v>0</v>
      </c>
      <c r="BR23" s="71">
        <v>27813</v>
      </c>
      <c r="BS23" s="71">
        <v>0</v>
      </c>
      <c r="BT23" s="71">
        <v>27993</v>
      </c>
      <c r="BU23" s="71">
        <v>0</v>
      </c>
    </row>
    <row r="25" spans="1:73" x14ac:dyDescent="0.3">
      <c r="A25" s="1218" t="s">
        <v>111</v>
      </c>
      <c r="B25" s="1218"/>
      <c r="C25" s="1218"/>
      <c r="D25" s="1218"/>
      <c r="E25" s="1218"/>
      <c r="F25" s="1218"/>
      <c r="G25" s="1218"/>
      <c r="H25" s="1218"/>
      <c r="I25" s="1218"/>
      <c r="J25" s="1218"/>
      <c r="K25" s="1218"/>
      <c r="L25" s="1218"/>
      <c r="M25" s="1218"/>
      <c r="N25" s="1218"/>
      <c r="O25" s="1218"/>
      <c r="P25" s="1218"/>
      <c r="Q25" s="1218"/>
      <c r="R25" s="1218"/>
      <c r="S25" s="1218"/>
      <c r="T25" s="1218"/>
      <c r="U25" s="1218"/>
      <c r="V25" s="1218"/>
      <c r="W25" s="1218"/>
      <c r="X25" s="1218"/>
      <c r="Y25" s="1218"/>
      <c r="Z25" s="1218"/>
      <c r="AA25" s="1218"/>
      <c r="AB25" s="1218"/>
      <c r="AC25" s="1218"/>
      <c r="AD25" s="1218"/>
      <c r="AE25" s="1218"/>
      <c r="AF25" s="1218"/>
      <c r="AG25" s="1218"/>
      <c r="AH25" s="1218"/>
      <c r="AI25" s="1218"/>
      <c r="AJ25" s="1218"/>
      <c r="AK25" s="1218"/>
      <c r="AL25" s="1218"/>
      <c r="AM25" s="1218"/>
      <c r="AN25" s="1218"/>
      <c r="AO25" s="1218"/>
      <c r="AP25" s="1218"/>
      <c r="AQ25" s="1218"/>
      <c r="AR25" s="1218"/>
      <c r="AS25" s="1218"/>
      <c r="AT25" s="1218"/>
      <c r="AU25" s="1218"/>
      <c r="AV25" s="1218"/>
      <c r="AW25" s="1218"/>
      <c r="AX25" s="1218"/>
      <c r="AY25" s="1218"/>
      <c r="AZ25" s="1218"/>
      <c r="BA25" s="1218"/>
      <c r="BB25" s="1218"/>
      <c r="BC25" s="1218"/>
      <c r="BD25" s="1218"/>
      <c r="BE25" s="1218"/>
      <c r="BF25" s="1218"/>
      <c r="BG25" s="1218"/>
      <c r="BH25" s="1218"/>
      <c r="BI25" s="1218"/>
      <c r="BJ25" s="1218"/>
      <c r="BK25" s="1218"/>
      <c r="BL25" s="1218"/>
      <c r="BM25" s="1218"/>
      <c r="BN25" s="1218"/>
      <c r="BO25" s="1218"/>
      <c r="BP25" s="1218"/>
      <c r="BQ25" s="1218"/>
      <c r="BR25" s="1218"/>
      <c r="BS25" s="1218"/>
      <c r="BT25" s="1218"/>
      <c r="BU25" s="1218"/>
    </row>
    <row r="26" spans="1:73" x14ac:dyDescent="0.35">
      <c r="A26" s="1230" t="s">
        <v>146</v>
      </c>
      <c r="B26" s="1230"/>
      <c r="C26" s="1230"/>
      <c r="D26" s="1230"/>
      <c r="E26" s="1230"/>
      <c r="F26" s="1230"/>
      <c r="G26" s="1230"/>
      <c r="H26" s="1230"/>
      <c r="I26" s="1230"/>
      <c r="J26" s="1230"/>
      <c r="K26" s="1230"/>
      <c r="L26" s="1230"/>
      <c r="M26" s="1230"/>
      <c r="N26" s="1230"/>
      <c r="O26" s="1230"/>
      <c r="P26" s="1230"/>
      <c r="Q26" s="1230"/>
      <c r="R26" s="1230"/>
      <c r="S26" s="1230"/>
      <c r="T26" s="1230"/>
      <c r="U26" s="1230"/>
      <c r="V26" s="1230"/>
      <c r="W26" s="1230"/>
      <c r="X26" s="1230"/>
      <c r="Y26" s="1230"/>
      <c r="Z26" s="1230"/>
      <c r="AA26" s="1230"/>
      <c r="AB26" s="1230"/>
      <c r="AC26" s="1230"/>
      <c r="AD26" s="1230"/>
      <c r="AE26" s="1230"/>
      <c r="AF26" s="1230"/>
      <c r="AG26" s="1230"/>
      <c r="AH26" s="1230"/>
      <c r="AI26" s="1230"/>
      <c r="AJ26" s="1230"/>
      <c r="AK26" s="1230"/>
      <c r="AL26" s="1230"/>
      <c r="AM26" s="1230"/>
      <c r="AN26" s="1230"/>
      <c r="AO26" s="1230"/>
      <c r="AP26" s="1230"/>
      <c r="AQ26" s="1230"/>
      <c r="AR26" s="1230"/>
      <c r="AS26" s="1230"/>
      <c r="AT26" s="1230"/>
      <c r="AU26" s="1230"/>
      <c r="AV26" s="1230"/>
      <c r="AW26" s="1230"/>
      <c r="AX26" s="1230"/>
      <c r="AY26" s="1230"/>
      <c r="AZ26" s="1230"/>
      <c r="BA26" s="1230"/>
      <c r="BB26" s="1230"/>
      <c r="BC26" s="1230"/>
      <c r="BD26" s="1230"/>
      <c r="BE26" s="1230"/>
      <c r="BF26" s="1230"/>
      <c r="BG26" s="1230"/>
      <c r="BH26" s="1230"/>
      <c r="BI26" s="1230"/>
      <c r="BJ26" s="1230"/>
      <c r="BK26" s="1230"/>
      <c r="BL26" s="1230"/>
      <c r="BM26" s="1230"/>
      <c r="BN26" s="1230"/>
      <c r="BO26" s="1230"/>
      <c r="BP26" s="1230"/>
      <c r="BQ26" s="1230"/>
      <c r="BR26" s="1230"/>
      <c r="BS26" s="1230"/>
      <c r="BT26" s="1230"/>
      <c r="BU26" s="1230"/>
    </row>
    <row r="27" spans="1:73" x14ac:dyDescent="0.35">
      <c r="B27" s="70"/>
      <c r="C27" s="70"/>
      <c r="D27" s="70"/>
      <c r="E27" s="70"/>
      <c r="F27" s="70"/>
      <c r="G27" s="70"/>
      <c r="H27" s="70"/>
      <c r="I27" s="70"/>
      <c r="J27" s="70"/>
      <c r="K27" s="70"/>
    </row>
    <row r="28" spans="1:73" x14ac:dyDescent="0.35">
      <c r="C28" s="69"/>
      <c r="E28" s="69"/>
      <c r="G28" s="69"/>
      <c r="I28" s="69"/>
      <c r="K28" s="69"/>
    </row>
    <row r="29" spans="1:73" x14ac:dyDescent="0.35">
      <c r="B29" s="950"/>
      <c r="C29" s="950"/>
      <c r="D29" s="950"/>
      <c r="E29" s="950"/>
      <c r="F29" s="950"/>
      <c r="G29" s="950"/>
      <c r="H29" s="950"/>
      <c r="I29" s="950"/>
      <c r="J29" s="950"/>
      <c r="K29" s="950"/>
      <c r="L29" s="950"/>
      <c r="M29" s="950"/>
      <c r="N29" s="950"/>
      <c r="O29" s="950"/>
      <c r="P29" s="950"/>
      <c r="Q29" s="950"/>
      <c r="R29" s="950"/>
      <c r="S29" s="950"/>
      <c r="T29" s="950"/>
      <c r="U29" s="950"/>
      <c r="V29" s="950"/>
      <c r="W29" s="950"/>
      <c r="X29" s="950"/>
      <c r="Y29" s="950"/>
      <c r="Z29" s="950"/>
      <c r="AA29" s="950"/>
      <c r="AB29" s="950"/>
      <c r="AC29" s="950"/>
      <c r="AD29" s="950"/>
      <c r="AE29" s="950"/>
      <c r="AF29" s="950"/>
      <c r="AG29" s="950"/>
      <c r="AH29" s="950"/>
      <c r="AI29" s="950"/>
      <c r="AJ29" s="950"/>
      <c r="AK29" s="950"/>
      <c r="AL29" s="950"/>
      <c r="AM29" s="950"/>
      <c r="AN29" s="950"/>
      <c r="AO29" s="950"/>
      <c r="AP29" s="950"/>
      <c r="AQ29" s="950"/>
      <c r="AR29" s="950"/>
      <c r="AS29" s="950"/>
      <c r="AT29" s="950"/>
      <c r="AU29" s="950"/>
      <c r="AV29" s="950"/>
      <c r="AW29" s="950"/>
      <c r="AX29" s="950"/>
      <c r="AY29" s="950"/>
      <c r="AZ29" s="950"/>
      <c r="BA29" s="950"/>
      <c r="BB29" s="950"/>
      <c r="BC29" s="950"/>
      <c r="BD29" s="950"/>
      <c r="BE29" s="950"/>
      <c r="BF29" s="950"/>
      <c r="BG29" s="950"/>
      <c r="BH29" s="950"/>
      <c r="BI29" s="950"/>
      <c r="BJ29" s="950"/>
      <c r="BK29" s="950"/>
      <c r="BL29" s="950"/>
      <c r="BM29" s="950"/>
      <c r="BN29" s="950"/>
      <c r="BO29" s="950"/>
      <c r="BP29" s="950"/>
      <c r="BQ29" s="950"/>
      <c r="BR29" s="950"/>
      <c r="BS29" s="950"/>
      <c r="BT29" s="950"/>
      <c r="BU29" s="950"/>
    </row>
  </sheetData>
  <mergeCells count="76">
    <mergeCell ref="BR4:BS4"/>
    <mergeCell ref="BR5:BS5"/>
    <mergeCell ref="AP5:AQ5"/>
    <mergeCell ref="AR5:AS5"/>
    <mergeCell ref="AT5:AU5"/>
    <mergeCell ref="AV5:AW5"/>
    <mergeCell ref="AX5:AY5"/>
    <mergeCell ref="AZ5:BA5"/>
    <mergeCell ref="BN5:BO5"/>
    <mergeCell ref="BP5:BQ5"/>
    <mergeCell ref="BJ4:BK4"/>
    <mergeCell ref="BL4:BM4"/>
    <mergeCell ref="BH4:BI4"/>
    <mergeCell ref="BN4:BO4"/>
    <mergeCell ref="BP4:BQ4"/>
    <mergeCell ref="AT4:AU4"/>
    <mergeCell ref="BL5:BM5"/>
    <mergeCell ref="AN5:AO5"/>
    <mergeCell ref="R5:S5"/>
    <mergeCell ref="T5:U5"/>
    <mergeCell ref="V5:W5"/>
    <mergeCell ref="X5:Y5"/>
    <mergeCell ref="Z5:AA5"/>
    <mergeCell ref="AB5:AC5"/>
    <mergeCell ref="AD5:AE5"/>
    <mergeCell ref="BB5:BC5"/>
    <mergeCell ref="BD5:BE5"/>
    <mergeCell ref="BF5:BG5"/>
    <mergeCell ref="BH5:BI5"/>
    <mergeCell ref="BJ5:BK5"/>
    <mergeCell ref="N5:O5"/>
    <mergeCell ref="P5:Q5"/>
    <mergeCell ref="BB4:BC4"/>
    <mergeCell ref="BD4:BE4"/>
    <mergeCell ref="BF4:BG4"/>
    <mergeCell ref="AF5:AG5"/>
    <mergeCell ref="AH5:AI5"/>
    <mergeCell ref="AJ5:AK5"/>
    <mergeCell ref="AL5:AM5"/>
    <mergeCell ref="AV4:AW4"/>
    <mergeCell ref="AX4:AY4"/>
    <mergeCell ref="Z4:AA4"/>
    <mergeCell ref="AB4:AC4"/>
    <mergeCell ref="AN4:AO4"/>
    <mergeCell ref="AP4:AQ4"/>
    <mergeCell ref="AR4:AS4"/>
    <mergeCell ref="B5:C5"/>
    <mergeCell ref="D5:E5"/>
    <mergeCell ref="F5:G5"/>
    <mergeCell ref="H5:I5"/>
    <mergeCell ref="J5:K5"/>
    <mergeCell ref="AF4:AG4"/>
    <mergeCell ref="AH4:AI4"/>
    <mergeCell ref="AJ4:AK4"/>
    <mergeCell ref="AL4:AM4"/>
    <mergeCell ref="P4:Q4"/>
    <mergeCell ref="R4:S4"/>
    <mergeCell ref="T4:U4"/>
    <mergeCell ref="V4:W4"/>
    <mergeCell ref="X4:Y4"/>
    <mergeCell ref="A2:BU2"/>
    <mergeCell ref="A25:BU25"/>
    <mergeCell ref="A26:BU26"/>
    <mergeCell ref="BT4:BU4"/>
    <mergeCell ref="BT5:BU5"/>
    <mergeCell ref="A4:A6"/>
    <mergeCell ref="B4:C4"/>
    <mergeCell ref="D4:E4"/>
    <mergeCell ref="F4:G4"/>
    <mergeCell ref="H4:I4"/>
    <mergeCell ref="J4:K4"/>
    <mergeCell ref="L4:M4"/>
    <mergeCell ref="N4:O4"/>
    <mergeCell ref="L5:M5"/>
    <mergeCell ref="AZ4:BA4"/>
    <mergeCell ref="AD4:AE4"/>
  </mergeCells>
  <pageMargins left="0.33" right="0.7" top="0.86"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K64"/>
  <sheetViews>
    <sheetView showGridLines="0" zoomScale="110" zoomScaleNormal="110" zoomScaleSheetLayoutView="110" workbookViewId="0">
      <pane xSplit="1" ySplit="7" topLeftCell="BM8" activePane="bottomRight" state="frozen"/>
      <selection pane="topRight" activeCell="B1" sqref="B1"/>
      <selection pane="bottomLeft" activeCell="A8" sqref="A8"/>
      <selection pane="bottomRight" activeCell="A52" sqref="A52:BO52"/>
    </sheetView>
  </sheetViews>
  <sheetFormatPr defaultColWidth="9.08984375" defaultRowHeight="13" x14ac:dyDescent="0.3"/>
  <cols>
    <col min="1" max="1" width="54.7265625" style="1" customWidth="1"/>
    <col min="2" max="2" width="9.453125" style="1" hidden="1" customWidth="1"/>
    <col min="3" max="3" width="9.08984375" style="1" hidden="1" customWidth="1"/>
    <col min="4" max="5" width="9.453125" style="1" hidden="1" customWidth="1"/>
    <col min="6" max="6" width="9.36328125" style="1" hidden="1" customWidth="1"/>
    <col min="7" max="7" width="9.453125" style="1" hidden="1" customWidth="1"/>
    <col min="8" max="8" width="9" style="1" hidden="1" customWidth="1"/>
    <col min="9" max="9" width="8.453125" style="1" hidden="1" customWidth="1"/>
    <col min="10" max="10" width="9.08984375" style="1" hidden="1" customWidth="1"/>
    <col min="11" max="11" width="9.36328125" style="1" hidden="1" customWidth="1"/>
    <col min="12" max="12" width="8.90625" style="1" hidden="1" customWidth="1"/>
    <col min="13" max="13" width="8.6328125" style="1" hidden="1" customWidth="1"/>
    <col min="14" max="14" width="8.90625" style="1" hidden="1" customWidth="1"/>
    <col min="15" max="15" width="9" style="1" hidden="1" customWidth="1"/>
    <col min="16" max="16" width="9.08984375" style="1" hidden="1" customWidth="1"/>
    <col min="17" max="17" width="9" style="1" hidden="1" customWidth="1"/>
    <col min="18" max="18" width="9.36328125" style="1" hidden="1" customWidth="1"/>
    <col min="19" max="19" width="9.453125" style="1" hidden="1" customWidth="1"/>
    <col min="20" max="21" width="9" style="1" hidden="1" customWidth="1"/>
    <col min="22" max="23" width="9.453125" style="1" hidden="1" customWidth="1"/>
    <col min="24" max="24" width="9" style="1" hidden="1" customWidth="1"/>
    <col min="25" max="26" width="9.08984375" style="1" hidden="1" customWidth="1"/>
    <col min="27" max="27" width="9.453125" style="1" hidden="1" customWidth="1"/>
    <col min="28" max="28" width="9" style="1" hidden="1" customWidth="1"/>
    <col min="29" max="29" width="9.08984375" style="1" hidden="1" customWidth="1"/>
    <col min="30" max="30" width="9.36328125" style="1" hidden="1" customWidth="1"/>
    <col min="31" max="31" width="9.90625" style="1" hidden="1" customWidth="1"/>
    <col min="32" max="32" width="9.08984375" style="1" hidden="1" customWidth="1"/>
    <col min="33" max="34" width="9.453125" style="1" hidden="1" customWidth="1"/>
    <col min="35" max="35" width="9" style="1" hidden="1" customWidth="1"/>
    <col min="36" max="36" width="9.36328125" style="1" hidden="1" customWidth="1"/>
    <col min="37" max="37" width="9" style="1" hidden="1" customWidth="1"/>
    <col min="38" max="38" width="8.90625" style="1" hidden="1" customWidth="1"/>
    <col min="39" max="39" width="8.453125" style="1" hidden="1" customWidth="1"/>
    <col min="40" max="41" width="8.90625" style="1" hidden="1" customWidth="1"/>
    <col min="42" max="42" width="9.453125" style="1" hidden="1" customWidth="1"/>
    <col min="43" max="43" width="10.36328125" style="1" hidden="1" customWidth="1"/>
    <col min="44" max="44" width="9.6328125" style="1" hidden="1" customWidth="1"/>
    <col min="45" max="45" width="9.90625" style="1" hidden="1" customWidth="1"/>
    <col min="46" max="46" width="9.453125" style="1" hidden="1" customWidth="1"/>
    <col min="47" max="47" width="10" style="1" hidden="1" customWidth="1"/>
    <col min="48" max="48" width="9.6328125" style="1" hidden="1" customWidth="1"/>
    <col min="49" max="49" width="9.453125" style="1" hidden="1" customWidth="1"/>
    <col min="50" max="50" width="9.90625" style="1" hidden="1" customWidth="1"/>
    <col min="51" max="51" width="11.08984375" style="1" hidden="1" customWidth="1"/>
    <col min="52" max="53" width="10.36328125" style="1" hidden="1" customWidth="1"/>
    <col min="54" max="55" width="10.08984375" style="1" hidden="1" customWidth="1"/>
    <col min="56" max="56" width="10.36328125" style="1" hidden="1" customWidth="1"/>
    <col min="57" max="57" width="10.08984375" style="1" hidden="1" customWidth="1"/>
    <col min="58" max="58" width="9.90625" style="1" hidden="1" customWidth="1"/>
    <col min="59" max="59" width="10.6328125" style="1" hidden="1" customWidth="1"/>
    <col min="60" max="60" width="11.36328125" style="1" hidden="1" customWidth="1"/>
    <col min="61" max="61" width="12" style="1" hidden="1" customWidth="1"/>
    <col min="62" max="62" width="11" style="1" hidden="1" customWidth="1"/>
    <col min="63" max="64" width="11.453125" style="1" hidden="1" customWidth="1"/>
    <col min="65" max="67" width="11" style="1" customWidth="1"/>
    <col min="68" max="16384" width="9.08984375" style="1"/>
  </cols>
  <sheetData>
    <row r="2" spans="1:67" ht="18" customHeight="1" x14ac:dyDescent="0.3">
      <c r="A2" s="1234" t="s">
        <v>206</v>
      </c>
      <c r="B2" s="1235"/>
      <c r="C2" s="1235"/>
      <c r="D2" s="1235"/>
      <c r="E2" s="1235"/>
      <c r="F2" s="1235"/>
      <c r="G2" s="1235"/>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row>
    <row r="3" spans="1:67" ht="3.25" customHeight="1" x14ac:dyDescent="0.3">
      <c r="A3" s="981"/>
      <c r="Q3" s="101"/>
      <c r="R3" s="101"/>
      <c r="S3" s="101"/>
      <c r="T3" s="101"/>
      <c r="U3" s="101"/>
      <c r="V3" s="101"/>
      <c r="W3" s="101"/>
      <c r="X3" s="101"/>
      <c r="Y3" s="101"/>
    </row>
    <row r="4" spans="1:67" x14ac:dyDescent="0.3">
      <c r="A4" s="52" t="s">
        <v>205</v>
      </c>
      <c r="AB4" s="101"/>
      <c r="AD4" s="101"/>
      <c r="AE4" s="101"/>
      <c r="AG4" s="101"/>
      <c r="AI4" s="101"/>
      <c r="AJ4" s="101"/>
      <c r="AK4" s="101"/>
      <c r="AM4" s="101"/>
      <c r="AN4" s="101"/>
      <c r="AO4" s="101"/>
      <c r="AP4" s="101"/>
      <c r="AQ4" s="101"/>
      <c r="AR4" s="101"/>
      <c r="AS4" s="101"/>
      <c r="AT4" s="101"/>
      <c r="AU4" s="101"/>
      <c r="AV4" s="101"/>
      <c r="AW4" s="101"/>
      <c r="AX4" s="101"/>
      <c r="AY4" s="101"/>
      <c r="AZ4" s="101"/>
      <c r="BA4" s="101"/>
      <c r="BB4" s="101"/>
      <c r="BC4" s="101"/>
      <c r="BF4" s="101"/>
      <c r="BG4" s="101"/>
      <c r="BH4" s="101"/>
      <c r="BI4" s="101"/>
      <c r="BJ4" s="101"/>
      <c r="BK4" s="101"/>
      <c r="BL4" s="101"/>
      <c r="BM4" s="101"/>
      <c r="BN4" s="986"/>
      <c r="BO4" s="986" t="s">
        <v>144</v>
      </c>
    </row>
    <row r="5" spans="1:67" x14ac:dyDescent="0.3">
      <c r="A5" s="60"/>
      <c r="B5" s="59" t="s">
        <v>204</v>
      </c>
      <c r="C5" s="57" t="s">
        <v>203</v>
      </c>
      <c r="D5" s="57" t="s">
        <v>202</v>
      </c>
      <c r="E5" s="57" t="s">
        <v>201</v>
      </c>
      <c r="F5" s="59" t="s">
        <v>200</v>
      </c>
      <c r="G5" s="57" t="s">
        <v>199</v>
      </c>
      <c r="H5" s="57" t="s">
        <v>198</v>
      </c>
      <c r="I5" s="57" t="s">
        <v>197</v>
      </c>
      <c r="J5" s="57" t="s">
        <v>196</v>
      </c>
      <c r="K5" s="57" t="s">
        <v>195</v>
      </c>
      <c r="L5" s="57" t="s">
        <v>194</v>
      </c>
      <c r="M5" s="57" t="s">
        <v>193</v>
      </c>
      <c r="N5" s="57" t="s">
        <v>192</v>
      </c>
      <c r="O5" s="57" t="s">
        <v>191</v>
      </c>
      <c r="P5" s="57" t="s">
        <v>190</v>
      </c>
      <c r="Q5" s="57" t="s">
        <v>189</v>
      </c>
      <c r="R5" s="57" t="s">
        <v>188</v>
      </c>
      <c r="S5" s="57" t="s">
        <v>187</v>
      </c>
      <c r="T5" s="57" t="s">
        <v>186</v>
      </c>
      <c r="U5" s="57" t="s">
        <v>185</v>
      </c>
      <c r="V5" s="57" t="s">
        <v>184</v>
      </c>
      <c r="W5" s="57" t="s">
        <v>183</v>
      </c>
      <c r="X5" s="57" t="s">
        <v>96</v>
      </c>
      <c r="Y5" s="57" t="s">
        <v>95</v>
      </c>
      <c r="Z5" s="57" t="s">
        <v>94</v>
      </c>
      <c r="AA5" s="57" t="s">
        <v>93</v>
      </c>
      <c r="AB5" s="57" t="s">
        <v>92</v>
      </c>
      <c r="AC5" s="57" t="s">
        <v>91</v>
      </c>
      <c r="AD5" s="57" t="s">
        <v>90</v>
      </c>
      <c r="AE5" s="57" t="s">
        <v>89</v>
      </c>
      <c r="AF5" s="57" t="s">
        <v>88</v>
      </c>
      <c r="AG5" s="57" t="s">
        <v>87</v>
      </c>
      <c r="AH5" s="57" t="s">
        <v>86</v>
      </c>
      <c r="AI5" s="57" t="s">
        <v>85</v>
      </c>
      <c r="AJ5" s="57" t="s">
        <v>84</v>
      </c>
      <c r="AK5" s="57" t="s">
        <v>83</v>
      </c>
      <c r="AL5" s="57" t="s">
        <v>82</v>
      </c>
      <c r="AM5" s="57" t="s">
        <v>81</v>
      </c>
      <c r="AN5" s="57" t="s">
        <v>80</v>
      </c>
      <c r="AO5" s="57" t="s">
        <v>79</v>
      </c>
      <c r="AP5" s="57" t="s">
        <v>78</v>
      </c>
      <c r="AQ5" s="57" t="s">
        <v>77</v>
      </c>
      <c r="AR5" s="57" t="s">
        <v>76</v>
      </c>
      <c r="AS5" s="57" t="s">
        <v>75</v>
      </c>
      <c r="AT5" s="57" t="s">
        <v>74</v>
      </c>
      <c r="AU5" s="57" t="s">
        <v>73</v>
      </c>
      <c r="AV5" s="57" t="s">
        <v>72</v>
      </c>
      <c r="AW5" s="57" t="s">
        <v>71</v>
      </c>
      <c r="AX5" s="57" t="s">
        <v>70</v>
      </c>
      <c r="AY5" s="57" t="s">
        <v>69</v>
      </c>
      <c r="AZ5" s="57" t="s">
        <v>68</v>
      </c>
      <c r="BA5" s="57" t="s">
        <v>67</v>
      </c>
      <c r="BB5" s="57" t="s">
        <v>66</v>
      </c>
      <c r="BC5" s="57" t="s">
        <v>65</v>
      </c>
      <c r="BD5" s="57" t="s">
        <v>64</v>
      </c>
      <c r="BE5" s="57" t="s">
        <v>63</v>
      </c>
      <c r="BF5" s="57" t="s">
        <v>62</v>
      </c>
      <c r="BG5" s="57" t="s">
        <v>61</v>
      </c>
      <c r="BH5" s="57" t="s">
        <v>60</v>
      </c>
      <c r="BI5" s="57" t="s">
        <v>59</v>
      </c>
      <c r="BJ5" s="57" t="s">
        <v>58</v>
      </c>
      <c r="BK5" s="57" t="s">
        <v>57</v>
      </c>
      <c r="BL5" s="57" t="s">
        <v>56</v>
      </c>
      <c r="BM5" s="57" t="s">
        <v>182</v>
      </c>
      <c r="BN5" s="57" t="s">
        <v>798</v>
      </c>
      <c r="BO5" s="57" t="s">
        <v>893</v>
      </c>
    </row>
    <row r="6" spans="1:67" ht="13.5" x14ac:dyDescent="0.35">
      <c r="A6" s="30"/>
      <c r="B6" s="100" t="s">
        <v>54</v>
      </c>
      <c r="C6" s="100" t="s">
        <v>54</v>
      </c>
      <c r="D6" s="100" t="s">
        <v>54</v>
      </c>
      <c r="E6" s="100" t="s">
        <v>54</v>
      </c>
      <c r="F6" s="100" t="s">
        <v>54</v>
      </c>
      <c r="G6" s="100" t="s">
        <v>54</v>
      </c>
      <c r="H6" s="100" t="s">
        <v>54</v>
      </c>
      <c r="I6" s="100" t="s">
        <v>54</v>
      </c>
      <c r="J6" s="100" t="s">
        <v>54</v>
      </c>
      <c r="K6" s="100" t="s">
        <v>54</v>
      </c>
      <c r="L6" s="100" t="s">
        <v>54</v>
      </c>
      <c r="M6" s="100" t="s">
        <v>54</v>
      </c>
      <c r="N6" s="100" t="s">
        <v>54</v>
      </c>
      <c r="O6" s="100" t="s">
        <v>54</v>
      </c>
      <c r="P6" s="100" t="s">
        <v>54</v>
      </c>
      <c r="Q6" s="100" t="s">
        <v>54</v>
      </c>
      <c r="R6" s="100" t="s">
        <v>54</v>
      </c>
      <c r="S6" s="100" t="s">
        <v>54</v>
      </c>
      <c r="T6" s="100" t="s">
        <v>54</v>
      </c>
      <c r="U6" s="100" t="s">
        <v>54</v>
      </c>
      <c r="V6" s="100" t="s">
        <v>54</v>
      </c>
      <c r="W6" s="100" t="s">
        <v>54</v>
      </c>
      <c r="X6" s="100" t="s">
        <v>54</v>
      </c>
      <c r="Y6" s="100" t="s">
        <v>54</v>
      </c>
      <c r="Z6" s="100" t="s">
        <v>54</v>
      </c>
      <c r="AA6" s="100" t="s">
        <v>54</v>
      </c>
      <c r="AB6" s="100" t="s">
        <v>54</v>
      </c>
      <c r="AC6" s="100" t="s">
        <v>54</v>
      </c>
      <c r="AD6" s="100" t="s">
        <v>54</v>
      </c>
      <c r="AE6" s="100" t="s">
        <v>54</v>
      </c>
      <c r="AF6" s="100" t="s">
        <v>54</v>
      </c>
      <c r="AG6" s="100" t="s">
        <v>54</v>
      </c>
      <c r="AH6" s="100" t="s">
        <v>54</v>
      </c>
      <c r="AI6" s="100" t="s">
        <v>54</v>
      </c>
      <c r="AJ6" s="100" t="s">
        <v>54</v>
      </c>
      <c r="AK6" s="100" t="s">
        <v>54</v>
      </c>
      <c r="AL6" s="100" t="s">
        <v>54</v>
      </c>
      <c r="AM6" s="100" t="s">
        <v>54</v>
      </c>
      <c r="AN6" s="100" t="s">
        <v>54</v>
      </c>
      <c r="AO6" s="100" t="s">
        <v>54</v>
      </c>
      <c r="AP6" s="100" t="s">
        <v>54</v>
      </c>
      <c r="AQ6" s="100" t="s">
        <v>54</v>
      </c>
      <c r="AR6" s="100" t="s">
        <v>54</v>
      </c>
      <c r="AS6" s="100" t="s">
        <v>54</v>
      </c>
      <c r="AT6" s="100" t="s">
        <v>54</v>
      </c>
      <c r="AU6" s="100" t="s">
        <v>54</v>
      </c>
      <c r="AV6" s="100" t="s">
        <v>54</v>
      </c>
      <c r="AW6" s="100" t="s">
        <v>54</v>
      </c>
      <c r="AX6" s="100" t="s">
        <v>54</v>
      </c>
      <c r="AY6" s="100" t="s">
        <v>54</v>
      </c>
      <c r="AZ6" s="100" t="s">
        <v>54</v>
      </c>
      <c r="BA6" s="100" t="s">
        <v>54</v>
      </c>
      <c r="BB6" s="100" t="s">
        <v>54</v>
      </c>
      <c r="BC6" s="100" t="s">
        <v>54</v>
      </c>
      <c r="BD6" s="100" t="s">
        <v>54</v>
      </c>
      <c r="BE6" s="100" t="s">
        <v>54</v>
      </c>
      <c r="BF6" s="100" t="s">
        <v>54</v>
      </c>
      <c r="BG6" s="100" t="s">
        <v>54</v>
      </c>
      <c r="BH6" s="100" t="s">
        <v>54</v>
      </c>
      <c r="BI6" s="100" t="s">
        <v>54</v>
      </c>
      <c r="BJ6" s="100" t="s">
        <v>54</v>
      </c>
      <c r="BK6" s="100" t="s">
        <v>54</v>
      </c>
      <c r="BL6" s="56" t="s">
        <v>54</v>
      </c>
      <c r="BM6" s="56" t="s">
        <v>54</v>
      </c>
      <c r="BN6" s="56" t="s">
        <v>54</v>
      </c>
      <c r="BO6" s="56" t="s">
        <v>53</v>
      </c>
    </row>
    <row r="7" spans="1:67" ht="7" hidden="1" customHeight="1" x14ac:dyDescent="0.3">
      <c r="A7" s="30"/>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row>
    <row r="8" spans="1:67" ht="18" customHeight="1" x14ac:dyDescent="0.3">
      <c r="A8" s="24" t="s">
        <v>181</v>
      </c>
      <c r="B8" s="14">
        <v>21616.7</v>
      </c>
      <c r="C8" s="14">
        <v>21016.3</v>
      </c>
      <c r="D8" s="14">
        <v>21417.3</v>
      </c>
      <c r="E8" s="14">
        <v>24323</v>
      </c>
      <c r="F8" s="14">
        <v>26791.200000000001</v>
      </c>
      <c r="G8" s="14">
        <v>29335.7</v>
      </c>
      <c r="H8" s="14">
        <v>29755</v>
      </c>
      <c r="I8" s="14">
        <v>30935</v>
      </c>
      <c r="J8" s="14">
        <v>31350.6</v>
      </c>
      <c r="K8" s="14">
        <v>31303.599999999999</v>
      </c>
      <c r="L8" s="14">
        <v>34284</v>
      </c>
      <c r="M8" s="14">
        <v>35282</v>
      </c>
      <c r="N8" s="14">
        <v>35947</v>
      </c>
      <c r="O8" s="14">
        <v>37359.300000000003</v>
      </c>
      <c r="P8" s="14">
        <v>42529.7</v>
      </c>
      <c r="Q8" s="14">
        <v>45632.9</v>
      </c>
      <c r="R8" s="14">
        <v>47162.400000000001</v>
      </c>
      <c r="S8" s="14">
        <v>48763.9</v>
      </c>
      <c r="T8" s="14">
        <v>51455.5</v>
      </c>
      <c r="U8" s="14">
        <v>51301.3</v>
      </c>
      <c r="V8" s="14">
        <v>51429.1</v>
      </c>
      <c r="W8" s="14">
        <v>56004</v>
      </c>
      <c r="X8" s="14">
        <v>54711</v>
      </c>
      <c r="Y8" s="14">
        <v>54552</v>
      </c>
      <c r="Z8" s="14">
        <v>54676</v>
      </c>
      <c r="AA8" s="14">
        <v>54023.883423671003</v>
      </c>
      <c r="AB8" s="14">
        <v>53463.646230258397</v>
      </c>
      <c r="AC8" s="14">
        <v>53104.152508746804</v>
      </c>
      <c r="AD8" s="14">
        <v>51637</v>
      </c>
      <c r="AE8" s="14">
        <v>46103.2278241842</v>
      </c>
      <c r="AF8" s="14">
        <v>46231</v>
      </c>
      <c r="AG8" s="14">
        <v>45015.199999999997</v>
      </c>
      <c r="AH8" s="14">
        <v>45128</v>
      </c>
      <c r="AI8" s="14">
        <v>44544.000000000007</v>
      </c>
      <c r="AJ8" s="14">
        <v>44537.600000000006</v>
      </c>
      <c r="AK8" s="14">
        <v>42078.000000000007</v>
      </c>
      <c r="AL8" s="14">
        <v>41414.350000000006</v>
      </c>
      <c r="AM8" s="14">
        <v>40255.600000000006</v>
      </c>
      <c r="AN8" s="14">
        <v>40257.500000000007</v>
      </c>
      <c r="AO8" s="14">
        <v>39203</v>
      </c>
      <c r="AP8" s="14">
        <v>39592.250000000007</v>
      </c>
      <c r="AQ8" s="14">
        <v>33621.800000000003</v>
      </c>
      <c r="AR8" s="14">
        <v>43688.2</v>
      </c>
      <c r="AS8" s="14">
        <v>58956.2</v>
      </c>
      <c r="AT8" s="14">
        <v>59786.85</v>
      </c>
      <c r="AU8" s="14">
        <v>70092.100000000006</v>
      </c>
      <c r="AV8" s="14">
        <v>71939.999999999985</v>
      </c>
      <c r="AW8" s="14">
        <v>77635.299999999988</v>
      </c>
      <c r="AX8" s="14">
        <v>77014.25</v>
      </c>
      <c r="AY8" s="14">
        <v>76262.25</v>
      </c>
      <c r="AZ8" s="14">
        <v>73172.350000000006</v>
      </c>
      <c r="BA8" s="14">
        <v>67395.600000000006</v>
      </c>
      <c r="BB8" s="14">
        <v>81788.45</v>
      </c>
      <c r="BC8" s="14">
        <v>85842.900000000009</v>
      </c>
      <c r="BD8" s="14">
        <v>83873.750000000015</v>
      </c>
      <c r="BE8" s="14">
        <v>79517.750000000015</v>
      </c>
      <c r="BF8" s="14">
        <v>83946.550000000017</v>
      </c>
      <c r="BG8" s="14">
        <v>85550.200000000012</v>
      </c>
      <c r="BH8" s="14">
        <v>85459.950000000012</v>
      </c>
      <c r="BI8" s="14">
        <v>97020</v>
      </c>
      <c r="BJ8" s="14">
        <v>96733</v>
      </c>
      <c r="BK8" s="14">
        <v>94550</v>
      </c>
      <c r="BL8" s="14">
        <v>97128</v>
      </c>
      <c r="BM8" s="14">
        <v>96993</v>
      </c>
      <c r="BN8" s="14">
        <v>98826</v>
      </c>
      <c r="BO8" s="14">
        <v>98801</v>
      </c>
    </row>
    <row r="9" spans="1:67" s="8" customFormat="1" x14ac:dyDescent="0.3">
      <c r="A9" s="29" t="s">
        <v>167</v>
      </c>
      <c r="B9" s="47">
        <v>236.7</v>
      </c>
      <c r="C9" s="47">
        <v>29.3</v>
      </c>
      <c r="D9" s="47">
        <v>29.3</v>
      </c>
      <c r="E9" s="47">
        <v>51</v>
      </c>
      <c r="F9" s="47">
        <v>106.2</v>
      </c>
      <c r="G9" s="47">
        <v>81.7</v>
      </c>
      <c r="H9" s="47">
        <v>15</v>
      </c>
      <c r="I9" s="47">
        <v>65</v>
      </c>
      <c r="J9" s="47">
        <v>272.60000000000002</v>
      </c>
      <c r="K9" s="47">
        <v>330.6</v>
      </c>
      <c r="L9" s="47">
        <v>820</v>
      </c>
      <c r="M9" s="47">
        <v>387</v>
      </c>
      <c r="N9" s="47">
        <v>216</v>
      </c>
      <c r="O9" s="47">
        <v>36.299999999999997</v>
      </c>
      <c r="P9" s="47">
        <v>131.69999999999999</v>
      </c>
      <c r="Q9" s="47">
        <v>183.9</v>
      </c>
      <c r="R9" s="47">
        <v>400.4</v>
      </c>
      <c r="S9" s="47">
        <v>437.9</v>
      </c>
      <c r="T9" s="47">
        <v>391.5</v>
      </c>
      <c r="U9" s="47">
        <v>329.3</v>
      </c>
      <c r="V9" s="47">
        <v>207.1</v>
      </c>
      <c r="W9" s="47">
        <v>53</v>
      </c>
      <c r="X9" s="47">
        <v>16</v>
      </c>
      <c r="Y9" s="47">
        <v>20</v>
      </c>
      <c r="Z9" s="47">
        <v>131</v>
      </c>
      <c r="AA9" s="47">
        <v>131</v>
      </c>
      <c r="AB9" s="47">
        <v>128</v>
      </c>
      <c r="AC9" s="47">
        <v>135</v>
      </c>
      <c r="AD9" s="47">
        <v>32</v>
      </c>
      <c r="AE9" s="47">
        <v>39</v>
      </c>
      <c r="AF9" s="47">
        <v>39</v>
      </c>
      <c r="AG9" s="47">
        <v>36</v>
      </c>
      <c r="AH9" s="47">
        <v>28</v>
      </c>
      <c r="AI9" s="47">
        <v>29.3</v>
      </c>
      <c r="AJ9" s="47">
        <v>14</v>
      </c>
      <c r="AK9" s="47">
        <v>12</v>
      </c>
      <c r="AL9" s="47">
        <v>17.399999999999999</v>
      </c>
      <c r="AM9" s="47">
        <v>12</v>
      </c>
      <c r="AN9" s="47">
        <v>10.3</v>
      </c>
      <c r="AO9" s="47">
        <v>13.4</v>
      </c>
      <c r="AP9" s="47">
        <v>36</v>
      </c>
      <c r="AQ9" s="47">
        <v>20.65</v>
      </c>
      <c r="AR9" s="47">
        <v>33.950000000000003</v>
      </c>
      <c r="AS9" s="47">
        <v>31.95</v>
      </c>
      <c r="AT9" s="47">
        <v>24.6</v>
      </c>
      <c r="AU9" s="47">
        <v>24.6</v>
      </c>
      <c r="AV9" s="47">
        <v>21.7</v>
      </c>
      <c r="AW9" s="47">
        <v>21.65</v>
      </c>
      <c r="AX9" s="47">
        <v>31.45</v>
      </c>
      <c r="AY9" s="47">
        <v>27.45</v>
      </c>
      <c r="AZ9" s="47">
        <v>43.35</v>
      </c>
      <c r="BA9" s="47">
        <v>44.6</v>
      </c>
      <c r="BB9" s="47">
        <v>38.450000000000003</v>
      </c>
      <c r="BC9" s="47">
        <v>61</v>
      </c>
      <c r="BD9" s="47">
        <v>77.099999999999994</v>
      </c>
      <c r="BE9" s="47">
        <v>35.35</v>
      </c>
      <c r="BF9" s="47">
        <v>45.6</v>
      </c>
      <c r="BG9" s="47">
        <v>40.299999999999997</v>
      </c>
      <c r="BH9" s="47">
        <v>36.799999999999997</v>
      </c>
      <c r="BI9" s="47">
        <v>63</v>
      </c>
      <c r="BJ9" s="47">
        <v>35</v>
      </c>
      <c r="BK9" s="47">
        <v>85</v>
      </c>
      <c r="BL9" s="47">
        <v>139</v>
      </c>
      <c r="BM9" s="880">
        <v>156</v>
      </c>
      <c r="BN9" s="880">
        <v>266</v>
      </c>
      <c r="BO9" s="880">
        <v>1087</v>
      </c>
    </row>
    <row r="10" spans="1:67" s="8" customFormat="1" ht="15" customHeight="1" x14ac:dyDescent="0.3">
      <c r="A10" s="29" t="s">
        <v>180</v>
      </c>
      <c r="B10" s="47">
        <v>21380</v>
      </c>
      <c r="C10" s="47">
        <v>20987</v>
      </c>
      <c r="D10" s="47">
        <v>21388</v>
      </c>
      <c r="E10" s="47">
        <v>24272</v>
      </c>
      <c r="F10" s="47">
        <v>26685</v>
      </c>
      <c r="G10" s="47">
        <v>29254</v>
      </c>
      <c r="H10" s="47">
        <v>29740</v>
      </c>
      <c r="I10" s="47">
        <v>30870</v>
      </c>
      <c r="J10" s="47">
        <v>31078</v>
      </c>
      <c r="K10" s="47">
        <v>30973</v>
      </c>
      <c r="L10" s="47">
        <v>33464</v>
      </c>
      <c r="M10" s="47">
        <v>34895</v>
      </c>
      <c r="N10" s="47">
        <v>35731</v>
      </c>
      <c r="O10" s="47">
        <v>37323</v>
      </c>
      <c r="P10" s="47">
        <v>42398</v>
      </c>
      <c r="Q10" s="47">
        <v>45449</v>
      </c>
      <c r="R10" s="47">
        <v>46762</v>
      </c>
      <c r="S10" s="47">
        <v>48326</v>
      </c>
      <c r="T10" s="47">
        <v>51064</v>
      </c>
      <c r="U10" s="47">
        <v>50972</v>
      </c>
      <c r="V10" s="47">
        <v>51222</v>
      </c>
      <c r="W10" s="47">
        <v>55951</v>
      </c>
      <c r="X10" s="47">
        <v>54695</v>
      </c>
      <c r="Y10" s="47">
        <v>54532</v>
      </c>
      <c r="Z10" s="47">
        <v>54545</v>
      </c>
      <c r="AA10" s="47">
        <v>53892.883423671003</v>
      </c>
      <c r="AB10" s="46">
        <v>53335.646230258397</v>
      </c>
      <c r="AC10" s="46">
        <v>52969.152508746804</v>
      </c>
      <c r="AD10" s="46">
        <v>51605</v>
      </c>
      <c r="AE10" s="46">
        <v>46064.2278241842</v>
      </c>
      <c r="AF10" s="46">
        <v>46192</v>
      </c>
      <c r="AG10" s="46">
        <v>44979.199999999997</v>
      </c>
      <c r="AH10" s="99">
        <v>45100</v>
      </c>
      <c r="AI10" s="99">
        <v>44514.700000000004</v>
      </c>
      <c r="AJ10" s="99">
        <v>44523.600000000006</v>
      </c>
      <c r="AK10" s="99">
        <v>42066.000000000007</v>
      </c>
      <c r="AL10" s="99">
        <v>41396.950000000004</v>
      </c>
      <c r="AM10" s="99">
        <v>40243.600000000006</v>
      </c>
      <c r="AN10" s="99">
        <v>40247.200000000004</v>
      </c>
      <c r="AO10" s="99">
        <v>39189.599999999999</v>
      </c>
      <c r="AP10" s="99">
        <v>39556.250000000007</v>
      </c>
      <c r="AQ10" s="99">
        <v>33601.15</v>
      </c>
      <c r="AR10" s="99">
        <v>43654.25</v>
      </c>
      <c r="AS10" s="99">
        <v>58924.25</v>
      </c>
      <c r="AT10" s="99">
        <v>59762.25</v>
      </c>
      <c r="AU10" s="99">
        <v>70067.5</v>
      </c>
      <c r="AV10" s="99">
        <v>71918.299999999988</v>
      </c>
      <c r="AW10" s="99">
        <v>77613.649999999994</v>
      </c>
      <c r="AX10" s="99">
        <v>76982.8</v>
      </c>
      <c r="AY10" s="99">
        <v>76234.8</v>
      </c>
      <c r="AZ10" s="99">
        <v>73129</v>
      </c>
      <c r="BA10" s="99">
        <v>67351</v>
      </c>
      <c r="BB10" s="99">
        <v>81750</v>
      </c>
      <c r="BC10" s="99">
        <v>85781.900000000009</v>
      </c>
      <c r="BD10" s="99">
        <v>83796.650000000009</v>
      </c>
      <c r="BE10" s="99">
        <v>79482.400000000009</v>
      </c>
      <c r="BF10" s="99">
        <v>83900.950000000012</v>
      </c>
      <c r="BG10" s="99">
        <v>85509.900000000009</v>
      </c>
      <c r="BH10" s="99">
        <v>85423.150000000009</v>
      </c>
      <c r="BI10" s="46">
        <v>96957</v>
      </c>
      <c r="BJ10" s="46">
        <v>96698</v>
      </c>
      <c r="BK10" s="46">
        <v>94465</v>
      </c>
      <c r="BL10" s="46">
        <v>96989</v>
      </c>
      <c r="BM10" s="46">
        <v>96837</v>
      </c>
      <c r="BN10" s="46">
        <v>98560</v>
      </c>
      <c r="BO10" s="46">
        <v>97714</v>
      </c>
    </row>
    <row r="11" spans="1:67" s="8" customFormat="1" ht="15" customHeight="1" x14ac:dyDescent="0.3">
      <c r="A11" s="29" t="s">
        <v>179</v>
      </c>
      <c r="B11" s="47">
        <v>4597</v>
      </c>
      <c r="C11" s="47">
        <v>4527</v>
      </c>
      <c r="D11" s="47">
        <v>4564</v>
      </c>
      <c r="E11" s="47">
        <v>4536</v>
      </c>
      <c r="F11" s="47">
        <v>4504</v>
      </c>
      <c r="G11" s="47">
        <v>4356</v>
      </c>
      <c r="H11" s="47">
        <v>4411</v>
      </c>
      <c r="I11" s="47">
        <v>4388</v>
      </c>
      <c r="J11" s="47">
        <v>4359</v>
      </c>
      <c r="K11" s="47">
        <v>4331</v>
      </c>
      <c r="L11" s="47">
        <v>4551</v>
      </c>
      <c r="M11" s="47">
        <v>4545</v>
      </c>
      <c r="N11" s="47">
        <v>4543</v>
      </c>
      <c r="O11" s="47">
        <v>4522</v>
      </c>
      <c r="P11" s="47">
        <v>4515</v>
      </c>
      <c r="Q11" s="47">
        <v>4525</v>
      </c>
      <c r="R11" s="47">
        <v>4493</v>
      </c>
      <c r="S11" s="47">
        <v>4497</v>
      </c>
      <c r="T11" s="47">
        <v>4525</v>
      </c>
      <c r="U11" s="47">
        <v>4497</v>
      </c>
      <c r="V11" s="47">
        <v>4449</v>
      </c>
      <c r="W11" s="47">
        <v>4876</v>
      </c>
      <c r="X11" s="47">
        <v>4775</v>
      </c>
      <c r="Y11" s="47">
        <v>4831</v>
      </c>
      <c r="Z11" s="47">
        <v>4818</v>
      </c>
      <c r="AA11" s="47">
        <v>4818.8834236710009</v>
      </c>
      <c r="AB11" s="47">
        <v>4803.6462302583996</v>
      </c>
      <c r="AC11" s="47">
        <v>4793.1525087467999</v>
      </c>
      <c r="AD11" s="47">
        <v>4672</v>
      </c>
      <c r="AE11" s="96">
        <v>4647.2278241842005</v>
      </c>
      <c r="AF11" s="96">
        <v>4640</v>
      </c>
      <c r="AG11" s="96">
        <v>4623</v>
      </c>
      <c r="AH11" s="96">
        <v>4605</v>
      </c>
      <c r="AI11" s="96">
        <v>4677</v>
      </c>
      <c r="AJ11" s="96">
        <v>4701</v>
      </c>
      <c r="AK11" s="96">
        <v>4644</v>
      </c>
      <c r="AL11" s="96">
        <v>4611</v>
      </c>
      <c r="AM11" s="96">
        <v>4671</v>
      </c>
      <c r="AN11" s="96">
        <v>4762</v>
      </c>
      <c r="AO11" s="96">
        <v>4814</v>
      </c>
      <c r="AP11" s="96">
        <v>4899.3999999999996</v>
      </c>
      <c r="AQ11" s="96">
        <v>5227.3999999999996</v>
      </c>
      <c r="AR11" s="96">
        <v>5375</v>
      </c>
      <c r="AS11" s="96">
        <v>5457</v>
      </c>
      <c r="AT11" s="96">
        <v>5511</v>
      </c>
      <c r="AU11" s="96">
        <v>5578</v>
      </c>
      <c r="AV11" s="96">
        <v>5888.4</v>
      </c>
      <c r="AW11" s="96">
        <v>14091.8</v>
      </c>
      <c r="AX11" s="96">
        <v>14201</v>
      </c>
      <c r="AY11" s="96">
        <v>14343.400000000001</v>
      </c>
      <c r="AZ11" s="96">
        <v>14073</v>
      </c>
      <c r="BA11" s="96">
        <v>13342</v>
      </c>
      <c r="BB11" s="96">
        <v>13617</v>
      </c>
      <c r="BC11" s="96">
        <v>14454</v>
      </c>
      <c r="BD11" s="96">
        <v>14274</v>
      </c>
      <c r="BE11" s="96">
        <v>13647.8</v>
      </c>
      <c r="BF11" s="96">
        <v>13855</v>
      </c>
      <c r="BG11" s="96">
        <v>14399</v>
      </c>
      <c r="BH11" s="96">
        <v>14579</v>
      </c>
      <c r="BI11" s="47">
        <v>14556</v>
      </c>
      <c r="BJ11" s="47">
        <v>14380</v>
      </c>
      <c r="BK11" s="47">
        <v>14141</v>
      </c>
      <c r="BL11" s="47">
        <v>14502</v>
      </c>
      <c r="BM11" s="880">
        <v>14630</v>
      </c>
      <c r="BN11" s="880">
        <v>14846</v>
      </c>
      <c r="BO11" s="880">
        <v>14941</v>
      </c>
    </row>
    <row r="12" spans="1:67" s="8" customFormat="1" ht="9.75" customHeight="1" x14ac:dyDescent="0.3">
      <c r="A12" s="29"/>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880"/>
      <c r="BN12" s="880"/>
      <c r="BO12" s="880"/>
    </row>
    <row r="13" spans="1:67" s="52" customFormat="1" ht="14.25" customHeight="1" x14ac:dyDescent="0.3">
      <c r="A13" s="24" t="s">
        <v>178</v>
      </c>
      <c r="B13" s="14">
        <v>9631</v>
      </c>
      <c r="C13" s="14">
        <v>10864</v>
      </c>
      <c r="D13" s="14">
        <v>9750</v>
      </c>
      <c r="E13" s="14">
        <v>9397</v>
      </c>
      <c r="F13" s="14">
        <v>8691</v>
      </c>
      <c r="G13" s="14">
        <v>8190</v>
      </c>
      <c r="H13" s="14">
        <v>7533</v>
      </c>
      <c r="I13" s="14">
        <v>8248</v>
      </c>
      <c r="J13" s="14">
        <v>11173</v>
      </c>
      <c r="K13" s="14">
        <v>11118</v>
      </c>
      <c r="L13" s="14">
        <v>10877</v>
      </c>
      <c r="M13" s="14">
        <v>11137</v>
      </c>
      <c r="N13" s="14">
        <v>10888</v>
      </c>
      <c r="O13" s="14">
        <v>10972</v>
      </c>
      <c r="P13" s="14">
        <v>10994</v>
      </c>
      <c r="Q13" s="14">
        <v>10828</v>
      </c>
      <c r="R13" s="14">
        <v>10569</v>
      </c>
      <c r="S13" s="14">
        <v>10928</v>
      </c>
      <c r="T13" s="14">
        <v>10838</v>
      </c>
      <c r="U13" s="14">
        <v>10948</v>
      </c>
      <c r="V13" s="14">
        <v>11294</v>
      </c>
      <c r="W13" s="14">
        <v>12536</v>
      </c>
      <c r="X13" s="14">
        <v>12618</v>
      </c>
      <c r="Y13" s="14">
        <v>12657</v>
      </c>
      <c r="Z13" s="14">
        <v>12674</v>
      </c>
      <c r="AA13" s="14">
        <v>12261</v>
      </c>
      <c r="AB13" s="14">
        <v>12317</v>
      </c>
      <c r="AC13" s="14">
        <v>12454</v>
      </c>
      <c r="AD13" s="14">
        <v>12385</v>
      </c>
      <c r="AE13" s="14">
        <v>11870</v>
      </c>
      <c r="AF13" s="14">
        <v>12621</v>
      </c>
      <c r="AG13" s="14">
        <v>11996</v>
      </c>
      <c r="AH13" s="14">
        <v>12180</v>
      </c>
      <c r="AI13" s="14">
        <v>11694</v>
      </c>
      <c r="AJ13" s="14">
        <v>12735</v>
      </c>
      <c r="AK13" s="14">
        <v>12875</v>
      </c>
      <c r="AL13" s="14">
        <v>12846</v>
      </c>
      <c r="AM13" s="14">
        <v>12405</v>
      </c>
      <c r="AN13" s="14">
        <v>12678</v>
      </c>
      <c r="AO13" s="14">
        <v>12377.6</v>
      </c>
      <c r="AP13" s="14">
        <v>16487</v>
      </c>
      <c r="AQ13" s="14">
        <v>19559</v>
      </c>
      <c r="AR13" s="14">
        <v>21038</v>
      </c>
      <c r="AS13" s="14">
        <v>21604</v>
      </c>
      <c r="AT13" s="14">
        <v>22491</v>
      </c>
      <c r="AU13" s="14">
        <v>23456</v>
      </c>
      <c r="AV13" s="14">
        <v>25693</v>
      </c>
      <c r="AW13" s="14">
        <v>25846.7</v>
      </c>
      <c r="AX13" s="14">
        <v>26494.27</v>
      </c>
      <c r="AY13" s="14">
        <v>26934.89</v>
      </c>
      <c r="AZ13" s="14">
        <v>28713</v>
      </c>
      <c r="BA13" s="14">
        <v>28979</v>
      </c>
      <c r="BB13" s="14">
        <v>30073</v>
      </c>
      <c r="BC13" s="14">
        <v>31244</v>
      </c>
      <c r="BD13" s="14">
        <v>31394</v>
      </c>
      <c r="BE13" s="14">
        <v>29519</v>
      </c>
      <c r="BF13" s="14">
        <v>29486.400000000001</v>
      </c>
      <c r="BG13" s="14">
        <v>30381.5</v>
      </c>
      <c r="BH13" s="14">
        <v>30728</v>
      </c>
      <c r="BI13" s="14">
        <v>28944</v>
      </c>
      <c r="BJ13" s="14">
        <v>29579.947982210801</v>
      </c>
      <c r="BK13" s="14">
        <v>27825</v>
      </c>
      <c r="BL13" s="14">
        <v>27427</v>
      </c>
      <c r="BM13" s="14">
        <v>27454</v>
      </c>
      <c r="BN13" s="14">
        <v>27813</v>
      </c>
      <c r="BO13" s="14">
        <v>27993</v>
      </c>
    </row>
    <row r="14" spans="1:67" s="52" customFormat="1" ht="14.25" customHeight="1" x14ac:dyDescent="0.3">
      <c r="A14" s="29" t="s">
        <v>166</v>
      </c>
      <c r="B14" s="14"/>
      <c r="C14" s="14"/>
      <c r="D14" s="14"/>
      <c r="E14" s="14"/>
      <c r="F14" s="14"/>
      <c r="G14" s="14"/>
      <c r="H14" s="98"/>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row>
    <row r="15" spans="1:67" x14ac:dyDescent="0.3">
      <c r="A15" s="48" t="s">
        <v>175</v>
      </c>
      <c r="B15" s="47">
        <v>4605</v>
      </c>
      <c r="C15" s="47">
        <v>4898</v>
      </c>
      <c r="D15" s="47">
        <v>5991</v>
      </c>
      <c r="E15" s="47">
        <v>5906</v>
      </c>
      <c r="F15" s="47">
        <v>5053</v>
      </c>
      <c r="G15" s="47">
        <v>4786</v>
      </c>
      <c r="H15" s="47">
        <v>4567</v>
      </c>
      <c r="I15" s="47">
        <v>5481</v>
      </c>
      <c r="J15" s="47">
        <v>8809</v>
      </c>
      <c r="K15" s="47">
        <v>8763</v>
      </c>
      <c r="L15" s="47">
        <v>8730</v>
      </c>
      <c r="M15" s="47">
        <v>8996</v>
      </c>
      <c r="N15" s="47">
        <v>8904</v>
      </c>
      <c r="O15" s="47">
        <v>9053</v>
      </c>
      <c r="P15" s="47">
        <v>9127</v>
      </c>
      <c r="Q15" s="47">
        <v>8969</v>
      </c>
      <c r="R15" s="47">
        <v>8745</v>
      </c>
      <c r="S15" s="47">
        <v>9164</v>
      </c>
      <c r="T15" s="47">
        <v>9126</v>
      </c>
      <c r="U15" s="47">
        <v>9348</v>
      </c>
      <c r="V15" s="47">
        <v>9786</v>
      </c>
      <c r="W15" s="47">
        <v>11066</v>
      </c>
      <c r="X15" s="47">
        <v>11187</v>
      </c>
      <c r="Y15" s="47">
        <v>11203</v>
      </c>
      <c r="Z15" s="47">
        <v>11292</v>
      </c>
      <c r="AA15" s="47">
        <v>10906</v>
      </c>
      <c r="AB15" s="47">
        <v>11017</v>
      </c>
      <c r="AC15" s="47">
        <v>11203</v>
      </c>
      <c r="AD15" s="47">
        <v>11240</v>
      </c>
      <c r="AE15" s="47">
        <v>10781</v>
      </c>
      <c r="AF15" s="47">
        <v>11536</v>
      </c>
      <c r="AG15" s="47">
        <v>10960</v>
      </c>
      <c r="AH15" s="47">
        <v>11185</v>
      </c>
      <c r="AI15" s="47">
        <v>10739</v>
      </c>
      <c r="AJ15" s="97">
        <v>11854</v>
      </c>
      <c r="AK15" s="97">
        <v>12065</v>
      </c>
      <c r="AL15" s="97">
        <v>12103</v>
      </c>
      <c r="AM15" s="97">
        <v>11725</v>
      </c>
      <c r="AN15" s="97">
        <v>12031</v>
      </c>
      <c r="AO15" s="97">
        <v>11802.6</v>
      </c>
      <c r="AP15" s="97">
        <v>15954</v>
      </c>
      <c r="AQ15" s="97">
        <v>19047</v>
      </c>
      <c r="AR15" s="97">
        <v>20516</v>
      </c>
      <c r="AS15" s="97">
        <v>21076</v>
      </c>
      <c r="AT15" s="97">
        <v>21945</v>
      </c>
      <c r="AU15" s="97">
        <v>22935</v>
      </c>
      <c r="AV15" s="97">
        <v>25135</v>
      </c>
      <c r="AW15" s="97">
        <v>25316.7</v>
      </c>
      <c r="AX15" s="97">
        <v>26460.27</v>
      </c>
      <c r="AY15" s="97">
        <v>26914.89</v>
      </c>
      <c r="AZ15" s="97">
        <v>28693</v>
      </c>
      <c r="BA15" s="97">
        <v>28974</v>
      </c>
      <c r="BB15" s="97">
        <v>30067</v>
      </c>
      <c r="BC15" s="97">
        <v>31244</v>
      </c>
      <c r="BD15" s="97">
        <v>31394</v>
      </c>
      <c r="BE15" s="97">
        <v>29519</v>
      </c>
      <c r="BF15" s="97">
        <v>29486.400000000001</v>
      </c>
      <c r="BG15" s="97">
        <v>30381.5</v>
      </c>
      <c r="BH15" s="97">
        <v>30728</v>
      </c>
      <c r="BI15" s="19">
        <v>28944</v>
      </c>
      <c r="BJ15" s="19">
        <v>29579.947982210801</v>
      </c>
      <c r="BK15" s="19">
        <v>27825</v>
      </c>
      <c r="BL15" s="19">
        <v>27427</v>
      </c>
      <c r="BM15" s="881">
        <v>27454</v>
      </c>
      <c r="BN15" s="881">
        <v>27813</v>
      </c>
      <c r="BO15" s="881">
        <v>27993</v>
      </c>
    </row>
    <row r="16" spans="1:67" x14ac:dyDescent="0.3">
      <c r="A16" s="48" t="s">
        <v>177</v>
      </c>
      <c r="B16" s="47">
        <v>5026</v>
      </c>
      <c r="C16" s="47">
        <v>5966</v>
      </c>
      <c r="D16" s="47">
        <v>3759</v>
      </c>
      <c r="E16" s="47">
        <v>3491</v>
      </c>
      <c r="F16" s="47">
        <v>3638</v>
      </c>
      <c r="G16" s="47">
        <v>3404</v>
      </c>
      <c r="H16" s="47">
        <v>2966</v>
      </c>
      <c r="I16" s="47">
        <v>2767</v>
      </c>
      <c r="J16" s="47">
        <v>2364</v>
      </c>
      <c r="K16" s="47">
        <v>2355</v>
      </c>
      <c r="L16" s="47">
        <v>2147</v>
      </c>
      <c r="M16" s="47">
        <v>2141</v>
      </c>
      <c r="N16" s="47">
        <v>1984</v>
      </c>
      <c r="O16" s="47">
        <v>1919</v>
      </c>
      <c r="P16" s="47">
        <v>1867</v>
      </c>
      <c r="Q16" s="47">
        <v>1859</v>
      </c>
      <c r="R16" s="47">
        <v>1824</v>
      </c>
      <c r="S16" s="47">
        <v>1764</v>
      </c>
      <c r="T16" s="47">
        <v>1712</v>
      </c>
      <c r="U16" s="47">
        <v>1600</v>
      </c>
      <c r="V16" s="47">
        <v>1508</v>
      </c>
      <c r="W16" s="47">
        <v>1470</v>
      </c>
      <c r="X16" s="47">
        <v>1431</v>
      </c>
      <c r="Y16" s="47">
        <v>1454</v>
      </c>
      <c r="Z16" s="47">
        <v>1382</v>
      </c>
      <c r="AA16" s="47">
        <v>1355</v>
      </c>
      <c r="AB16" s="47">
        <v>1300</v>
      </c>
      <c r="AC16" s="47">
        <v>1251</v>
      </c>
      <c r="AD16" s="47">
        <v>1145</v>
      </c>
      <c r="AE16" s="47">
        <v>1089</v>
      </c>
      <c r="AF16" s="47">
        <v>1085</v>
      </c>
      <c r="AG16" s="47">
        <v>1036</v>
      </c>
      <c r="AH16" s="47">
        <v>995</v>
      </c>
      <c r="AI16" s="47">
        <v>955</v>
      </c>
      <c r="AJ16" s="97">
        <v>881</v>
      </c>
      <c r="AK16" s="97">
        <v>810</v>
      </c>
      <c r="AL16" s="97">
        <v>743</v>
      </c>
      <c r="AM16" s="97">
        <v>680</v>
      </c>
      <c r="AN16" s="97">
        <v>647</v>
      </c>
      <c r="AO16" s="97">
        <v>575</v>
      </c>
      <c r="AP16" s="97">
        <v>533</v>
      </c>
      <c r="AQ16" s="97">
        <v>512</v>
      </c>
      <c r="AR16" s="97">
        <v>522</v>
      </c>
      <c r="AS16" s="97">
        <v>528</v>
      </c>
      <c r="AT16" s="97">
        <v>546</v>
      </c>
      <c r="AU16" s="97">
        <v>521</v>
      </c>
      <c r="AV16" s="97">
        <v>558</v>
      </c>
      <c r="AW16" s="97">
        <v>530</v>
      </c>
      <c r="AX16" s="97">
        <v>34</v>
      </c>
      <c r="AY16" s="97">
        <v>20</v>
      </c>
      <c r="AZ16" s="97">
        <v>20</v>
      </c>
      <c r="BA16" s="97">
        <v>5</v>
      </c>
      <c r="BB16" s="97">
        <v>6</v>
      </c>
      <c r="BC16" s="97">
        <v>0</v>
      </c>
      <c r="BD16" s="97">
        <v>0</v>
      </c>
      <c r="BE16" s="97">
        <v>0</v>
      </c>
      <c r="BF16" s="97">
        <v>0</v>
      </c>
      <c r="BG16" s="97">
        <v>0</v>
      </c>
      <c r="BH16" s="97">
        <v>0</v>
      </c>
      <c r="BI16" s="19">
        <v>0</v>
      </c>
      <c r="BJ16" s="19">
        <v>0</v>
      </c>
      <c r="BK16" s="19">
        <v>0</v>
      </c>
      <c r="BL16" s="19">
        <v>0</v>
      </c>
      <c r="BM16" s="881">
        <v>0</v>
      </c>
      <c r="BN16" s="881">
        <v>0</v>
      </c>
      <c r="BO16" s="881">
        <v>0</v>
      </c>
    </row>
    <row r="17" spans="1:67" ht="7.5" customHeight="1" x14ac:dyDescent="0.3">
      <c r="A17" s="48"/>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row>
    <row r="18" spans="1:67" s="52" customFormat="1" ht="16.5" customHeight="1" x14ac:dyDescent="0.3">
      <c r="A18" s="93" t="s">
        <v>176</v>
      </c>
      <c r="B18" s="14">
        <v>270</v>
      </c>
      <c r="C18" s="14">
        <v>211</v>
      </c>
      <c r="D18" s="14">
        <v>211</v>
      </c>
      <c r="E18" s="14">
        <v>236</v>
      </c>
      <c r="F18" s="14">
        <v>225</v>
      </c>
      <c r="G18" s="14">
        <v>219</v>
      </c>
      <c r="H18" s="14">
        <v>208</v>
      </c>
      <c r="I18" s="14">
        <v>204</v>
      </c>
      <c r="J18" s="14">
        <v>191</v>
      </c>
      <c r="K18" s="14">
        <v>191</v>
      </c>
      <c r="L18" s="14">
        <v>185</v>
      </c>
      <c r="M18" s="14">
        <v>189</v>
      </c>
      <c r="N18" s="14">
        <v>180</v>
      </c>
      <c r="O18" s="14">
        <v>181</v>
      </c>
      <c r="P18" s="14">
        <v>171</v>
      </c>
      <c r="Q18" s="14">
        <v>171</v>
      </c>
      <c r="R18" s="14">
        <v>160</v>
      </c>
      <c r="S18" s="14">
        <v>160</v>
      </c>
      <c r="T18" s="14">
        <v>149</v>
      </c>
      <c r="U18" s="14">
        <v>149</v>
      </c>
      <c r="V18" s="14">
        <v>137</v>
      </c>
      <c r="W18" s="14">
        <v>149</v>
      </c>
      <c r="X18" s="14">
        <v>136</v>
      </c>
      <c r="Y18" s="14">
        <v>138</v>
      </c>
      <c r="Z18" s="14">
        <v>126</v>
      </c>
      <c r="AA18" s="14">
        <v>126</v>
      </c>
      <c r="AB18" s="14">
        <v>115</v>
      </c>
      <c r="AC18" s="14">
        <v>115</v>
      </c>
      <c r="AD18" s="14">
        <v>102</v>
      </c>
      <c r="AE18" s="14">
        <v>101</v>
      </c>
      <c r="AF18" s="14">
        <v>90</v>
      </c>
      <c r="AG18" s="14">
        <v>90</v>
      </c>
      <c r="AH18" s="14">
        <v>78</v>
      </c>
      <c r="AI18" s="14">
        <v>79</v>
      </c>
      <c r="AJ18" s="14">
        <v>68</v>
      </c>
      <c r="AK18" s="14">
        <v>67</v>
      </c>
      <c r="AL18" s="14">
        <v>67</v>
      </c>
      <c r="AM18" s="14">
        <v>56</v>
      </c>
      <c r="AN18" s="14">
        <v>46</v>
      </c>
      <c r="AO18" s="14">
        <v>46</v>
      </c>
      <c r="AP18" s="14">
        <v>47</v>
      </c>
      <c r="AQ18" s="14">
        <v>37</v>
      </c>
      <c r="AR18" s="14">
        <v>26</v>
      </c>
      <c r="AS18" s="14">
        <v>26</v>
      </c>
      <c r="AT18" s="14">
        <v>26</v>
      </c>
      <c r="AU18" s="14">
        <v>13</v>
      </c>
      <c r="AV18" s="14">
        <v>0</v>
      </c>
      <c r="AW18" s="14">
        <v>0</v>
      </c>
      <c r="AX18" s="14">
        <v>0</v>
      </c>
      <c r="AY18" s="14">
        <v>0</v>
      </c>
      <c r="AZ18" s="14">
        <v>0</v>
      </c>
      <c r="BA18" s="14">
        <v>0</v>
      </c>
      <c r="BB18" s="14">
        <v>0</v>
      </c>
      <c r="BC18" s="14">
        <v>0</v>
      </c>
      <c r="BD18" s="14">
        <v>0</v>
      </c>
      <c r="BE18" s="14">
        <v>0</v>
      </c>
      <c r="BF18" s="14">
        <v>0</v>
      </c>
      <c r="BG18" s="14">
        <v>0</v>
      </c>
      <c r="BH18" s="14">
        <v>0</v>
      </c>
      <c r="BI18" s="14">
        <v>0</v>
      </c>
      <c r="BJ18" s="14">
        <v>0</v>
      </c>
      <c r="BK18" s="14">
        <v>0</v>
      </c>
      <c r="BL18" s="14">
        <v>0</v>
      </c>
      <c r="BM18" s="14">
        <v>0</v>
      </c>
      <c r="BN18" s="14">
        <v>0</v>
      </c>
      <c r="BO18" s="14">
        <v>0</v>
      </c>
    </row>
    <row r="19" spans="1:67" ht="16.5" customHeight="1" x14ac:dyDescent="0.3">
      <c r="A19" s="29" t="s">
        <v>166</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row>
    <row r="20" spans="1:67" ht="15" customHeight="1" x14ac:dyDescent="0.3">
      <c r="A20" s="48" t="s">
        <v>175</v>
      </c>
      <c r="B20" s="47">
        <v>270</v>
      </c>
      <c r="C20" s="47">
        <v>211</v>
      </c>
      <c r="D20" s="47">
        <v>211</v>
      </c>
      <c r="E20" s="47">
        <v>236</v>
      </c>
      <c r="F20" s="47">
        <v>225</v>
      </c>
      <c r="G20" s="47">
        <v>219</v>
      </c>
      <c r="H20" s="47">
        <v>208</v>
      </c>
      <c r="I20" s="47">
        <v>204</v>
      </c>
      <c r="J20" s="47">
        <v>191</v>
      </c>
      <c r="K20" s="47">
        <v>191</v>
      </c>
      <c r="L20" s="47">
        <v>185</v>
      </c>
      <c r="M20" s="47">
        <v>189</v>
      </c>
      <c r="N20" s="47">
        <v>180</v>
      </c>
      <c r="O20" s="47">
        <v>181</v>
      </c>
      <c r="P20" s="47">
        <v>171</v>
      </c>
      <c r="Q20" s="47">
        <v>171</v>
      </c>
      <c r="R20" s="47">
        <v>160</v>
      </c>
      <c r="S20" s="47">
        <v>160</v>
      </c>
      <c r="T20" s="47">
        <v>149</v>
      </c>
      <c r="U20" s="47">
        <v>149</v>
      </c>
      <c r="V20" s="47">
        <v>137</v>
      </c>
      <c r="W20" s="47">
        <v>149</v>
      </c>
      <c r="X20" s="47">
        <v>136</v>
      </c>
      <c r="Y20" s="47">
        <v>138</v>
      </c>
      <c r="Z20" s="47">
        <v>126</v>
      </c>
      <c r="AA20" s="47">
        <v>126</v>
      </c>
      <c r="AB20" s="47">
        <v>115</v>
      </c>
      <c r="AC20" s="47">
        <v>115</v>
      </c>
      <c r="AD20" s="47">
        <v>102</v>
      </c>
      <c r="AE20" s="47">
        <v>101</v>
      </c>
      <c r="AF20" s="47">
        <v>90</v>
      </c>
      <c r="AG20" s="47">
        <v>90</v>
      </c>
      <c r="AH20" s="47">
        <v>78</v>
      </c>
      <c r="AI20" s="47">
        <v>79</v>
      </c>
      <c r="AJ20" s="47">
        <v>68</v>
      </c>
      <c r="AK20" s="47">
        <v>67</v>
      </c>
      <c r="AL20" s="47">
        <v>67</v>
      </c>
      <c r="AM20" s="47">
        <v>56</v>
      </c>
      <c r="AN20" s="47">
        <v>46</v>
      </c>
      <c r="AO20" s="47">
        <v>46</v>
      </c>
      <c r="AP20" s="47">
        <v>47</v>
      </c>
      <c r="AQ20" s="47">
        <v>37</v>
      </c>
      <c r="AR20" s="47">
        <v>26</v>
      </c>
      <c r="AS20" s="47">
        <v>26</v>
      </c>
      <c r="AT20" s="47">
        <v>26</v>
      </c>
      <c r="AU20" s="47">
        <v>13</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row>
    <row r="21" spans="1:67" ht="9.75" customHeight="1" x14ac:dyDescent="0.3">
      <c r="A21" s="30"/>
      <c r="B21" s="19"/>
      <c r="C21" s="19"/>
      <c r="D21" s="19"/>
      <c r="E21" s="19"/>
      <c r="F21" s="19"/>
      <c r="G21" s="19"/>
      <c r="H21" s="19"/>
      <c r="I21" s="19"/>
      <c r="J21" s="95"/>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row>
    <row r="22" spans="1:67" s="52" customFormat="1" ht="16.5" customHeight="1" x14ac:dyDescent="0.3">
      <c r="A22" s="24" t="s">
        <v>174</v>
      </c>
      <c r="B22" s="14">
        <v>63.2</v>
      </c>
      <c r="C22" s="14">
        <v>91.300000000000011</v>
      </c>
      <c r="D22" s="14">
        <v>60.800000000000004</v>
      </c>
      <c r="E22" s="14">
        <v>94.399999999999991</v>
      </c>
      <c r="F22" s="14">
        <v>129.69999999999999</v>
      </c>
      <c r="G22" s="14">
        <v>139.22099999999998</v>
      </c>
      <c r="H22" s="14">
        <v>487.27100000000002</v>
      </c>
      <c r="I22" s="14">
        <v>186.72</v>
      </c>
      <c r="J22" s="14">
        <v>148</v>
      </c>
      <c r="K22" s="14">
        <v>148.1</v>
      </c>
      <c r="L22" s="14">
        <v>156.19999999999999</v>
      </c>
      <c r="M22" s="14">
        <v>117</v>
      </c>
      <c r="N22" s="14">
        <v>116</v>
      </c>
      <c r="O22" s="14">
        <v>114.4</v>
      </c>
      <c r="P22" s="14">
        <v>113</v>
      </c>
      <c r="Q22" s="14">
        <v>109.3</v>
      </c>
      <c r="R22" s="14">
        <v>103.8</v>
      </c>
      <c r="S22" s="14">
        <v>269.97630101421998</v>
      </c>
      <c r="T22" s="14">
        <v>339.53789460421996</v>
      </c>
      <c r="U22" s="14">
        <v>287.13766312521659</v>
      </c>
      <c r="V22" s="14">
        <v>180.70069716544606</v>
      </c>
      <c r="W22" s="14">
        <v>112.84233883978</v>
      </c>
      <c r="X22" s="14">
        <v>123.509977211962</v>
      </c>
      <c r="Y22" s="14">
        <v>175.20838625475596</v>
      </c>
      <c r="Z22" s="14">
        <v>349.80878811679088</v>
      </c>
      <c r="AA22" s="14">
        <v>293.94522853256797</v>
      </c>
      <c r="AB22" s="14">
        <v>326.73229972801806</v>
      </c>
      <c r="AC22" s="14">
        <v>333.57017626121495</v>
      </c>
      <c r="AD22" s="14">
        <v>335.18158726121499</v>
      </c>
      <c r="AE22" s="14">
        <v>334.10502526121496</v>
      </c>
      <c r="AF22" s="14">
        <v>333.60264126121496</v>
      </c>
      <c r="AG22" s="14">
        <v>337.8</v>
      </c>
      <c r="AH22" s="14">
        <v>338</v>
      </c>
      <c r="AI22" s="14">
        <v>253.42647785787696</v>
      </c>
      <c r="AJ22" s="14">
        <v>210.96042463828101</v>
      </c>
      <c r="AK22" s="14">
        <v>351.07678888873801</v>
      </c>
      <c r="AL22" s="14">
        <v>531.15202438848303</v>
      </c>
      <c r="AM22" s="14">
        <v>550.61012452025989</v>
      </c>
      <c r="AN22" s="14">
        <v>337.518172256892</v>
      </c>
      <c r="AO22" s="14">
        <v>337.26575517246403</v>
      </c>
      <c r="AP22" s="14">
        <v>325.38762182639903</v>
      </c>
      <c r="AQ22" s="14">
        <v>367.92832329821397</v>
      </c>
      <c r="AR22" s="14">
        <v>10025.485557643324</v>
      </c>
      <c r="AS22" s="14">
        <v>10178.152517423621</v>
      </c>
      <c r="AT22" s="14">
        <v>2732.9709095310418</v>
      </c>
      <c r="AU22" s="14">
        <v>4799.0807093228686</v>
      </c>
      <c r="AV22" s="14">
        <v>8934.8822045277648</v>
      </c>
      <c r="AW22" s="14">
        <v>26057.18364092147</v>
      </c>
      <c r="AX22" s="14">
        <v>35321.549607866596</v>
      </c>
      <c r="AY22" s="14">
        <v>40947.455451019494</v>
      </c>
      <c r="AZ22" s="14">
        <v>52618.353756876888</v>
      </c>
      <c r="BA22" s="14">
        <v>52364.30596562881</v>
      </c>
      <c r="BB22" s="14">
        <v>51194.863745977207</v>
      </c>
      <c r="BC22" s="14">
        <v>53649.270402484239</v>
      </c>
      <c r="BD22" s="14">
        <v>63191.407003442582</v>
      </c>
      <c r="BE22" s="14">
        <v>63007.03870356016</v>
      </c>
      <c r="BF22" s="14">
        <v>65262.943590278228</v>
      </c>
      <c r="BG22" s="14">
        <v>64175.787588866551</v>
      </c>
      <c r="BH22" s="14">
        <v>62146.578952589771</v>
      </c>
      <c r="BI22" s="14">
        <v>53975.220286677184</v>
      </c>
      <c r="BJ22" s="14">
        <v>66610.990919318559</v>
      </c>
      <c r="BK22" s="14">
        <v>64540.577807583606</v>
      </c>
      <c r="BL22" s="14">
        <v>65497.474143276646</v>
      </c>
      <c r="BM22" s="14">
        <v>69929.765358574747</v>
      </c>
      <c r="BN22" s="14">
        <v>72228.969201504078</v>
      </c>
      <c r="BO22" s="14">
        <v>67417.364761945064</v>
      </c>
    </row>
    <row r="23" spans="1:67" ht="16.5" customHeight="1" x14ac:dyDescent="0.3">
      <c r="A23" s="29" t="s">
        <v>167</v>
      </c>
      <c r="B23" s="47">
        <v>63.2</v>
      </c>
      <c r="C23" s="47">
        <v>91.300000000000011</v>
      </c>
      <c r="D23" s="47">
        <v>60.800000000000004</v>
      </c>
      <c r="E23" s="47">
        <v>94.399999999999991</v>
      </c>
      <c r="F23" s="47">
        <v>129.69999999999999</v>
      </c>
      <c r="G23" s="47">
        <v>139.22099999999998</v>
      </c>
      <c r="H23" s="47">
        <v>487.27100000000002</v>
      </c>
      <c r="I23" s="47">
        <v>186.72</v>
      </c>
      <c r="J23" s="47">
        <v>148</v>
      </c>
      <c r="K23" s="47">
        <v>148.1</v>
      </c>
      <c r="L23" s="47">
        <v>156.19999999999999</v>
      </c>
      <c r="M23" s="47">
        <v>117</v>
      </c>
      <c r="N23" s="47">
        <v>116</v>
      </c>
      <c r="O23" s="47">
        <v>114.4</v>
      </c>
      <c r="P23" s="47">
        <v>113</v>
      </c>
      <c r="Q23" s="47">
        <v>109.3</v>
      </c>
      <c r="R23" s="47">
        <v>103.8</v>
      </c>
      <c r="S23" s="47">
        <v>269.97630101421998</v>
      </c>
      <c r="T23" s="47">
        <v>339.53789460421996</v>
      </c>
      <c r="U23" s="47">
        <v>287.13766312521659</v>
      </c>
      <c r="V23" s="47">
        <v>180.70069716544606</v>
      </c>
      <c r="W23" s="47">
        <v>112.84233883978</v>
      </c>
      <c r="X23" s="47">
        <v>123.509977211962</v>
      </c>
      <c r="Y23" s="47">
        <v>175.20838625475596</v>
      </c>
      <c r="Z23" s="47">
        <v>345.60878811679089</v>
      </c>
      <c r="AA23" s="47">
        <v>284.44522853256797</v>
      </c>
      <c r="AB23" s="47">
        <v>317.23229972801806</v>
      </c>
      <c r="AC23" s="47">
        <v>324.07017626121495</v>
      </c>
      <c r="AD23" s="47">
        <v>325.68158726121499</v>
      </c>
      <c r="AE23" s="47">
        <v>324.60502526121496</v>
      </c>
      <c r="AF23" s="47">
        <v>324.10264126121496</v>
      </c>
      <c r="AG23" s="47">
        <v>328.3</v>
      </c>
      <c r="AH23" s="47">
        <v>334.4</v>
      </c>
      <c r="AI23" s="47">
        <v>232.62647785787695</v>
      </c>
      <c r="AJ23" s="47">
        <v>189.660424638281</v>
      </c>
      <c r="AK23" s="47">
        <v>329.776788888738</v>
      </c>
      <c r="AL23" s="47">
        <v>509.85202438848302</v>
      </c>
      <c r="AM23" s="47">
        <v>529.31012452025993</v>
      </c>
      <c r="AN23" s="47">
        <v>316.21817225689199</v>
      </c>
      <c r="AO23" s="47">
        <v>315.96575517246401</v>
      </c>
      <c r="AP23" s="47">
        <v>304.08762182639902</v>
      </c>
      <c r="AQ23" s="47">
        <v>339.92832329821397</v>
      </c>
      <c r="AR23" s="47">
        <v>10015.335557643324</v>
      </c>
      <c r="AS23" s="47">
        <v>10169.152517423621</v>
      </c>
      <c r="AT23" s="47">
        <v>2725.8709095310419</v>
      </c>
      <c r="AU23" s="47">
        <v>726.42070932286879</v>
      </c>
      <c r="AV23" s="47">
        <v>4665.9922045277654</v>
      </c>
      <c r="AW23" s="47">
        <v>4667.7336409214686</v>
      </c>
      <c r="AX23" s="47">
        <v>492.62960786659801</v>
      </c>
      <c r="AY23" s="47">
        <v>907.0454510194902</v>
      </c>
      <c r="AZ23" s="47">
        <v>523.05375687688183</v>
      </c>
      <c r="BA23" s="47">
        <v>768.56596562881418</v>
      </c>
      <c r="BB23" s="47">
        <v>711.74874597720896</v>
      </c>
      <c r="BC23" s="47">
        <v>657.84540248423502</v>
      </c>
      <c r="BD23" s="47">
        <v>1169.5399187525768</v>
      </c>
      <c r="BE23" s="47">
        <v>623.73213298016606</v>
      </c>
      <c r="BF23" s="47">
        <v>771.60146009822211</v>
      </c>
      <c r="BG23" s="47">
        <v>866.89285820655675</v>
      </c>
      <c r="BH23" s="47">
        <v>918.39265954977805</v>
      </c>
      <c r="BI23" s="47">
        <v>1112.6485415271909</v>
      </c>
      <c r="BJ23" s="47">
        <v>14198.126507238561</v>
      </c>
      <c r="BK23" s="47">
        <v>14230.11641306361</v>
      </c>
      <c r="BL23" s="47">
        <v>14458.456727196646</v>
      </c>
      <c r="BM23" s="47">
        <v>14451.699905544752</v>
      </c>
      <c r="BN23" s="47">
        <v>14794.931217774072</v>
      </c>
      <c r="BO23" s="47">
        <v>14940.617391695065</v>
      </c>
    </row>
    <row r="24" spans="1:67" ht="16.5" customHeight="1" x14ac:dyDescent="0.3">
      <c r="A24" s="29" t="s">
        <v>166</v>
      </c>
      <c r="B24" s="92">
        <v>0</v>
      </c>
      <c r="C24" s="92">
        <v>0</v>
      </c>
      <c r="D24" s="92">
        <v>0</v>
      </c>
      <c r="E24" s="92">
        <v>0</v>
      </c>
      <c r="F24" s="92">
        <v>0</v>
      </c>
      <c r="G24" s="92">
        <v>0</v>
      </c>
      <c r="H24" s="92">
        <v>0</v>
      </c>
      <c r="I24" s="92">
        <v>0</v>
      </c>
      <c r="J24" s="92">
        <v>0</v>
      </c>
      <c r="K24" s="92">
        <v>0</v>
      </c>
      <c r="L24" s="92">
        <v>0</v>
      </c>
      <c r="M24" s="92">
        <v>0</v>
      </c>
      <c r="N24" s="92">
        <v>0</v>
      </c>
      <c r="O24" s="92">
        <v>0</v>
      </c>
      <c r="P24" s="92">
        <v>0</v>
      </c>
      <c r="Q24" s="92">
        <v>0</v>
      </c>
      <c r="R24" s="92">
        <v>0</v>
      </c>
      <c r="S24" s="92">
        <v>0</v>
      </c>
      <c r="T24" s="92">
        <v>0</v>
      </c>
      <c r="U24" s="92">
        <v>0</v>
      </c>
      <c r="V24" s="92">
        <v>0</v>
      </c>
      <c r="W24" s="92">
        <v>0</v>
      </c>
      <c r="X24" s="92">
        <v>0</v>
      </c>
      <c r="Y24" s="92">
        <v>0</v>
      </c>
      <c r="Z24" s="47">
        <v>4.2</v>
      </c>
      <c r="AA24" s="47">
        <v>9.5</v>
      </c>
      <c r="AB24" s="47">
        <v>9.5</v>
      </c>
      <c r="AC24" s="47">
        <v>9.5</v>
      </c>
      <c r="AD24" s="47">
        <v>9.5</v>
      </c>
      <c r="AE24" s="47">
        <v>9.5</v>
      </c>
      <c r="AF24" s="47">
        <v>9.5</v>
      </c>
      <c r="AG24" s="47">
        <v>9.5</v>
      </c>
      <c r="AH24" s="47">
        <v>3.6</v>
      </c>
      <c r="AI24" s="47">
        <v>20.8</v>
      </c>
      <c r="AJ24" s="47">
        <v>21.3</v>
      </c>
      <c r="AK24" s="47">
        <v>21.3</v>
      </c>
      <c r="AL24" s="47">
        <v>21.3</v>
      </c>
      <c r="AM24" s="47">
        <v>21.3</v>
      </c>
      <c r="AN24" s="47">
        <v>21.3</v>
      </c>
      <c r="AO24" s="47">
        <v>21.3</v>
      </c>
      <c r="AP24" s="47">
        <v>21.3</v>
      </c>
      <c r="AQ24" s="47">
        <v>28</v>
      </c>
      <c r="AR24" s="47">
        <v>10.15</v>
      </c>
      <c r="AS24" s="47">
        <v>9</v>
      </c>
      <c r="AT24" s="47">
        <v>7.1</v>
      </c>
      <c r="AU24" s="47">
        <v>4072.6600000000003</v>
      </c>
      <c r="AV24" s="47">
        <v>4268.8899999999994</v>
      </c>
      <c r="AW24" s="47">
        <v>21389.45</v>
      </c>
      <c r="AX24" s="47">
        <v>34828.92</v>
      </c>
      <c r="AY24" s="47">
        <v>40040.410000000003</v>
      </c>
      <c r="AZ24" s="47">
        <v>52095.3</v>
      </c>
      <c r="BA24" s="47">
        <v>51595.74</v>
      </c>
      <c r="BB24" s="47">
        <v>50483.114999999998</v>
      </c>
      <c r="BC24" s="47">
        <v>52991.425000000003</v>
      </c>
      <c r="BD24" s="47">
        <v>62021.867084690006</v>
      </c>
      <c r="BE24" s="47">
        <v>62383.306570579996</v>
      </c>
      <c r="BF24" s="47">
        <v>64491.342130180004</v>
      </c>
      <c r="BG24" s="47">
        <v>63308.894730659995</v>
      </c>
      <c r="BH24" s="47">
        <v>61228.186293039995</v>
      </c>
      <c r="BI24" s="47">
        <v>52862.571745149995</v>
      </c>
      <c r="BJ24" s="47">
        <v>52412.864412080002</v>
      </c>
      <c r="BK24" s="47">
        <v>50310.461394519996</v>
      </c>
      <c r="BL24" s="47">
        <v>51039.017416080002</v>
      </c>
      <c r="BM24" s="47">
        <v>55478.065453030002</v>
      </c>
      <c r="BN24" s="47">
        <v>57434.037983730006</v>
      </c>
      <c r="BO24" s="47">
        <v>52476.747370249992</v>
      </c>
    </row>
    <row r="25" spans="1:67" ht="9" customHeight="1" x14ac:dyDescent="0.3">
      <c r="A25" s="2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row>
    <row r="26" spans="1:67" s="52" customFormat="1" ht="16.5" customHeight="1" x14ac:dyDescent="0.3">
      <c r="A26" s="24" t="s">
        <v>173</v>
      </c>
      <c r="B26" s="14">
        <v>174637.9</v>
      </c>
      <c r="C26" s="14">
        <v>168706.80000000002</v>
      </c>
      <c r="D26" s="14">
        <v>196915.20000000001</v>
      </c>
      <c r="E26" s="14">
        <v>198528.10000000003</v>
      </c>
      <c r="F26" s="14">
        <v>188497.3</v>
      </c>
      <c r="G26" s="14">
        <v>194167.4</v>
      </c>
      <c r="H26" s="14">
        <v>190386.6</v>
      </c>
      <c r="I26" s="14">
        <v>213139.09999999998</v>
      </c>
      <c r="J26" s="14">
        <v>218392.2</v>
      </c>
      <c r="K26" s="14">
        <v>220597.69999999998</v>
      </c>
      <c r="L26" s="14">
        <v>248157.19999999998</v>
      </c>
      <c r="M26" s="14">
        <v>234652.55995856313</v>
      </c>
      <c r="N26" s="14">
        <v>247023.5</v>
      </c>
      <c r="O26" s="14">
        <v>260829.3</v>
      </c>
      <c r="P26" s="14">
        <v>281834.8</v>
      </c>
      <c r="Q26" s="14">
        <v>282374.59999999998</v>
      </c>
      <c r="R26" s="14">
        <v>284529.82893033762</v>
      </c>
      <c r="S26" s="14">
        <v>306341.4858943958</v>
      </c>
      <c r="T26" s="14">
        <v>277434.76596440875</v>
      </c>
      <c r="U26" s="14">
        <v>303132.96544482501</v>
      </c>
      <c r="V26" s="14">
        <v>325999.57885613904</v>
      </c>
      <c r="W26" s="14">
        <v>330286.30611265614</v>
      </c>
      <c r="X26" s="14">
        <v>289006.00346621725</v>
      </c>
      <c r="Y26" s="14">
        <v>282896.97880543274</v>
      </c>
      <c r="Z26" s="14">
        <v>281389.43467059254</v>
      </c>
      <c r="AA26" s="14">
        <v>295621.81212875078</v>
      </c>
      <c r="AB26" s="14">
        <v>291263.2918805154</v>
      </c>
      <c r="AC26" s="14">
        <v>280680.77674356202</v>
      </c>
      <c r="AD26" s="14">
        <v>291465.58687449381</v>
      </c>
      <c r="AE26" s="14">
        <v>295566.10431232455</v>
      </c>
      <c r="AF26" s="14">
        <v>278849.5490921223</v>
      </c>
      <c r="AG26" s="14">
        <v>275377.16439144191</v>
      </c>
      <c r="AH26" s="14">
        <v>274999.53159338352</v>
      </c>
      <c r="AI26" s="14">
        <v>306784.88675250689</v>
      </c>
      <c r="AJ26" s="14">
        <v>280954.04971030646</v>
      </c>
      <c r="AK26" s="14">
        <v>293542.7079007451</v>
      </c>
      <c r="AL26" s="14">
        <v>307445.16519601876</v>
      </c>
      <c r="AM26" s="14">
        <v>318580.07558830106</v>
      </c>
      <c r="AN26" s="14">
        <v>331290.43917678046</v>
      </c>
      <c r="AO26" s="14">
        <v>346577.05067147175</v>
      </c>
      <c r="AP26" s="14">
        <v>373841.34559671732</v>
      </c>
      <c r="AQ26" s="14">
        <v>389075.89019385556</v>
      </c>
      <c r="AR26" s="14">
        <v>398778.15315295965</v>
      </c>
      <c r="AS26" s="14">
        <v>377169.0927792376</v>
      </c>
      <c r="AT26" s="14">
        <v>380135.23886770604</v>
      </c>
      <c r="AU26" s="14">
        <v>413588.52368384262</v>
      </c>
      <c r="AV26" s="14">
        <v>464322.35159668</v>
      </c>
      <c r="AW26" s="14">
        <v>447151.98697538255</v>
      </c>
      <c r="AX26" s="14">
        <v>461895.1421287597</v>
      </c>
      <c r="AY26" s="14">
        <v>524346.16289981641</v>
      </c>
      <c r="AZ26" s="14">
        <v>542362.58585947554</v>
      </c>
      <c r="BA26" s="14">
        <v>579808.73669903935</v>
      </c>
      <c r="BB26" s="14">
        <v>560522.81014471489</v>
      </c>
      <c r="BC26" s="14">
        <v>599449.94906664477</v>
      </c>
      <c r="BD26" s="14">
        <v>626129.84676213679</v>
      </c>
      <c r="BE26" s="14">
        <v>616350.6037597846</v>
      </c>
      <c r="BF26" s="14">
        <v>627060.56367417984</v>
      </c>
      <c r="BG26" s="14">
        <v>684692.88366354164</v>
      </c>
      <c r="BH26" s="14">
        <v>766359.948844951</v>
      </c>
      <c r="BI26" s="14">
        <v>684438.7318256048</v>
      </c>
      <c r="BJ26" s="14">
        <v>731553.69387121475</v>
      </c>
      <c r="BK26" s="14">
        <v>713634.69333635969</v>
      </c>
      <c r="BL26" s="14">
        <v>682656.5052446248</v>
      </c>
      <c r="BM26" s="14">
        <v>756253.39337238471</v>
      </c>
      <c r="BN26" s="14">
        <v>814444.23068848741</v>
      </c>
      <c r="BO26" s="14">
        <v>890575.52216898208</v>
      </c>
    </row>
    <row r="27" spans="1:67" ht="16.5" customHeight="1" x14ac:dyDescent="0.3">
      <c r="A27" s="29" t="s">
        <v>167</v>
      </c>
      <c r="B27" s="47">
        <v>32235.399999999998</v>
      </c>
      <c r="C27" s="47">
        <v>30765.600000000002</v>
      </c>
      <c r="D27" s="47">
        <v>36275.699999999997</v>
      </c>
      <c r="E27" s="47">
        <v>35822.199999999997</v>
      </c>
      <c r="F27" s="47">
        <v>39847.5</v>
      </c>
      <c r="G27" s="47">
        <v>57013.5</v>
      </c>
      <c r="H27" s="47">
        <v>49838.1</v>
      </c>
      <c r="I27" s="47">
        <v>46852.3</v>
      </c>
      <c r="J27" s="47">
        <v>46931</v>
      </c>
      <c r="K27" s="47">
        <v>48475.4</v>
      </c>
      <c r="L27" s="47">
        <v>57092.799999999996</v>
      </c>
      <c r="M27" s="47">
        <v>55686.555436457085</v>
      </c>
      <c r="N27" s="47">
        <v>85217.5</v>
      </c>
      <c r="O27" s="47">
        <v>79295.3</v>
      </c>
      <c r="P27" s="47">
        <v>87332.4</v>
      </c>
      <c r="Q27" s="47">
        <v>88609</v>
      </c>
      <c r="R27" s="47">
        <v>82927.844720424444</v>
      </c>
      <c r="S27" s="47">
        <v>177244.95245896964</v>
      </c>
      <c r="T27" s="47">
        <v>135660.85382278438</v>
      </c>
      <c r="U27" s="47">
        <v>142373.38185852536</v>
      </c>
      <c r="V27" s="47">
        <v>164877.10270503993</v>
      </c>
      <c r="W27" s="47">
        <v>172805.5100348265</v>
      </c>
      <c r="X27" s="47">
        <v>156457.76895031615</v>
      </c>
      <c r="Y27" s="47">
        <v>156591.71178493806</v>
      </c>
      <c r="Z27" s="47">
        <v>163974.26775632551</v>
      </c>
      <c r="AA27" s="47">
        <v>153323.65317685102</v>
      </c>
      <c r="AB27" s="47">
        <v>157277.30194958556</v>
      </c>
      <c r="AC27" s="47">
        <v>163993.97529980604</v>
      </c>
      <c r="AD27" s="47">
        <v>160452.08751584965</v>
      </c>
      <c r="AE27" s="47">
        <v>162697.42710925304</v>
      </c>
      <c r="AF27" s="47">
        <v>159598.08331397921</v>
      </c>
      <c r="AG27" s="47">
        <v>173912.09184821846</v>
      </c>
      <c r="AH27" s="47">
        <v>170009.2613062404</v>
      </c>
      <c r="AI27" s="47">
        <v>191432.15639187684</v>
      </c>
      <c r="AJ27" s="47">
        <v>166233.39895873101</v>
      </c>
      <c r="AK27" s="47">
        <v>169087.27911460903</v>
      </c>
      <c r="AL27" s="96">
        <v>160633.25614053608</v>
      </c>
      <c r="AM27" s="47">
        <v>172062.05934676016</v>
      </c>
      <c r="AN27" s="47">
        <v>179209.43010250182</v>
      </c>
      <c r="AO27" s="47">
        <v>178726.2673261482</v>
      </c>
      <c r="AP27" s="47">
        <v>203779.75787888962</v>
      </c>
      <c r="AQ27" s="47">
        <v>227210.37254985768</v>
      </c>
      <c r="AR27" s="47">
        <v>226317.72550005978</v>
      </c>
      <c r="AS27" s="47">
        <v>227286.20799734967</v>
      </c>
      <c r="AT27" s="47">
        <v>238974.98931684927</v>
      </c>
      <c r="AU27" s="47">
        <v>263726.92792323057</v>
      </c>
      <c r="AV27" s="47">
        <v>314337.24319827888</v>
      </c>
      <c r="AW27" s="47">
        <v>326062.41483329062</v>
      </c>
      <c r="AX27" s="47">
        <v>314852.78456419479</v>
      </c>
      <c r="AY27" s="47">
        <v>363122.09917023289</v>
      </c>
      <c r="AZ27" s="47">
        <v>348704.99947966682</v>
      </c>
      <c r="BA27" s="47">
        <v>361635.33559282072</v>
      </c>
      <c r="BB27" s="47">
        <v>354477.11851779144</v>
      </c>
      <c r="BC27" s="47">
        <v>393882.61521444644</v>
      </c>
      <c r="BD27" s="47">
        <v>396984.16461957514</v>
      </c>
      <c r="BE27" s="47">
        <v>402268.18018827162</v>
      </c>
      <c r="BF27" s="47">
        <v>406455.12291328417</v>
      </c>
      <c r="BG27" s="47">
        <v>456395.12971408508</v>
      </c>
      <c r="BH27" s="47">
        <v>527790.1940265767</v>
      </c>
      <c r="BI27" s="47">
        <v>476575.68219055829</v>
      </c>
      <c r="BJ27" s="47">
        <v>500537.25421410758</v>
      </c>
      <c r="BK27" s="47">
        <v>501807.04515163851</v>
      </c>
      <c r="BL27" s="47">
        <v>455431.69197968452</v>
      </c>
      <c r="BM27" s="47">
        <v>508012.53150452377</v>
      </c>
      <c r="BN27" s="47">
        <v>547659.39021428698</v>
      </c>
      <c r="BO27" s="47">
        <v>580214.93803751073</v>
      </c>
    </row>
    <row r="28" spans="1:67" ht="16.5" customHeight="1" x14ac:dyDescent="0.3">
      <c r="A28" s="29" t="s">
        <v>166</v>
      </c>
      <c r="B28" s="47">
        <v>142402.5</v>
      </c>
      <c r="C28" s="47">
        <v>137941.20000000001</v>
      </c>
      <c r="D28" s="47">
        <v>160639.5</v>
      </c>
      <c r="E28" s="47">
        <v>162705.90000000002</v>
      </c>
      <c r="F28" s="47">
        <v>148649.79999999999</v>
      </c>
      <c r="G28" s="47">
        <v>137153.9</v>
      </c>
      <c r="H28" s="47">
        <v>140548.5</v>
      </c>
      <c r="I28" s="47">
        <v>166286.79999999999</v>
      </c>
      <c r="J28" s="47">
        <v>171461.2</v>
      </c>
      <c r="K28" s="47">
        <v>172122.3</v>
      </c>
      <c r="L28" s="47">
        <v>191064.4</v>
      </c>
      <c r="M28" s="47">
        <v>178966.00452210603</v>
      </c>
      <c r="N28" s="47">
        <v>161806</v>
      </c>
      <c r="O28" s="47">
        <v>181534</v>
      </c>
      <c r="P28" s="47">
        <v>194502.39999999999</v>
      </c>
      <c r="Q28" s="47">
        <v>193765.59999999998</v>
      </c>
      <c r="R28" s="47">
        <v>201601.98420991318</v>
      </c>
      <c r="S28" s="47">
        <v>129096.53343542617</v>
      </c>
      <c r="T28" s="47">
        <v>141773.91214162434</v>
      </c>
      <c r="U28" s="47">
        <v>160759.58358629962</v>
      </c>
      <c r="V28" s="47">
        <v>161122.47615109911</v>
      </c>
      <c r="W28" s="47">
        <v>157480.79607782961</v>
      </c>
      <c r="X28" s="47">
        <v>132548.2345159011</v>
      </c>
      <c r="Y28" s="47">
        <v>126305.26702049468</v>
      </c>
      <c r="Z28" s="47">
        <v>117415.16691426704</v>
      </c>
      <c r="AA28" s="47">
        <v>142298.15895189976</v>
      </c>
      <c r="AB28" s="47">
        <v>133985.98993092988</v>
      </c>
      <c r="AC28" s="47">
        <v>116686.80144375598</v>
      </c>
      <c r="AD28" s="47">
        <v>131013.49935864416</v>
      </c>
      <c r="AE28" s="47">
        <v>132868.67720307148</v>
      </c>
      <c r="AF28" s="47">
        <v>119251.4657781431</v>
      </c>
      <c r="AG28" s="47">
        <v>101465.07254322343</v>
      </c>
      <c r="AH28" s="47">
        <v>104990.27028714312</v>
      </c>
      <c r="AI28" s="47">
        <v>115352.73036063006</v>
      </c>
      <c r="AJ28" s="47">
        <v>114720.65075157542</v>
      </c>
      <c r="AK28" s="47">
        <v>124455.42878613608</v>
      </c>
      <c r="AL28" s="96">
        <v>146811.90905548265</v>
      </c>
      <c r="AM28" s="47">
        <v>146518.01624154087</v>
      </c>
      <c r="AN28" s="47">
        <v>152081.00907427864</v>
      </c>
      <c r="AO28" s="47">
        <v>167850.78334532352</v>
      </c>
      <c r="AP28" s="47">
        <v>170061.58771782773</v>
      </c>
      <c r="AQ28" s="47">
        <v>161865.51764399788</v>
      </c>
      <c r="AR28" s="47">
        <v>172460.42765289987</v>
      </c>
      <c r="AS28" s="47">
        <v>149882.88478188793</v>
      </c>
      <c r="AT28" s="47">
        <v>141160.2495508568</v>
      </c>
      <c r="AU28" s="47">
        <v>149861.59576061208</v>
      </c>
      <c r="AV28" s="47">
        <v>149985.10839840112</v>
      </c>
      <c r="AW28" s="47">
        <v>121089.57214209193</v>
      </c>
      <c r="AX28" s="47">
        <v>147042.35756456491</v>
      </c>
      <c r="AY28" s="47">
        <v>161224.06372958358</v>
      </c>
      <c r="AZ28" s="47">
        <v>193657.58637980875</v>
      </c>
      <c r="BA28" s="47">
        <v>218173.40110621857</v>
      </c>
      <c r="BB28" s="47">
        <v>206045.69162692345</v>
      </c>
      <c r="BC28" s="47">
        <v>205567.33385219827</v>
      </c>
      <c r="BD28" s="47">
        <v>229145.68214256162</v>
      </c>
      <c r="BE28" s="47">
        <v>214082.42357151301</v>
      </c>
      <c r="BF28" s="47">
        <v>220605.44076089573</v>
      </c>
      <c r="BG28" s="47">
        <v>228297.75394945662</v>
      </c>
      <c r="BH28" s="47">
        <v>238569.75481837432</v>
      </c>
      <c r="BI28" s="47">
        <v>207863.04963504645</v>
      </c>
      <c r="BJ28" s="47">
        <v>231016.43965710717</v>
      </c>
      <c r="BK28" s="47">
        <v>211827.64818472115</v>
      </c>
      <c r="BL28" s="47">
        <v>227224.81326494031</v>
      </c>
      <c r="BM28" s="47">
        <v>248240.86186786098</v>
      </c>
      <c r="BN28" s="47">
        <v>266784.84047420038</v>
      </c>
      <c r="BO28" s="47">
        <v>310360.58413147129</v>
      </c>
    </row>
    <row r="29" spans="1:67" ht="9" customHeight="1" x14ac:dyDescent="0.3">
      <c r="A29" s="2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row>
    <row r="30" spans="1:67" s="52" customFormat="1" ht="16.5" customHeight="1" x14ac:dyDescent="0.3">
      <c r="A30" s="24" t="s">
        <v>172</v>
      </c>
      <c r="B30" s="14">
        <v>4172604</v>
      </c>
      <c r="C30" s="14">
        <v>4233189</v>
      </c>
      <c r="D30" s="14">
        <v>4292122</v>
      </c>
      <c r="E30" s="14">
        <v>4398937</v>
      </c>
      <c r="F30" s="14">
        <v>5134776</v>
      </c>
      <c r="G30" s="14">
        <v>6098612.3573686667</v>
      </c>
      <c r="H30" s="14">
        <v>6180149</v>
      </c>
      <c r="I30" s="14">
        <v>6303869</v>
      </c>
      <c r="J30" s="14">
        <v>6516153</v>
      </c>
      <c r="K30" s="14">
        <v>6608204.5810000002</v>
      </c>
      <c r="L30" s="14">
        <v>6700256.1620000005</v>
      </c>
      <c r="M30" s="14">
        <v>6792308.7429999998</v>
      </c>
      <c r="N30" s="14">
        <v>6884958</v>
      </c>
      <c r="O30" s="14">
        <v>6623135.789217311</v>
      </c>
      <c r="P30" s="14">
        <v>5840648.8533380264</v>
      </c>
      <c r="Q30" s="14">
        <v>5599866.3602158101</v>
      </c>
      <c r="R30" s="14">
        <v>5233328.0416366905</v>
      </c>
      <c r="S30" s="14">
        <v>5019868.656894641</v>
      </c>
      <c r="T30" s="14">
        <v>4712661.1295994185</v>
      </c>
      <c r="U30" s="14">
        <v>4600938.7860115971</v>
      </c>
      <c r="V30" s="14">
        <v>4276350.7460550675</v>
      </c>
      <c r="W30" s="14">
        <v>5115693.1737939604</v>
      </c>
      <c r="X30" s="14">
        <v>5139523.5258292072</v>
      </c>
      <c r="Y30" s="14">
        <v>5640734.2676317766</v>
      </c>
      <c r="Z30" s="14">
        <v>6126736.7217459269</v>
      </c>
      <c r="AA30" s="14">
        <v>6172887.5066759214</v>
      </c>
      <c r="AB30" s="14">
        <v>6355069.3107798323</v>
      </c>
      <c r="AC30" s="14">
        <v>6629248.0685599465</v>
      </c>
      <c r="AD30" s="14">
        <v>6687842.2983079311</v>
      </c>
      <c r="AE30" s="14">
        <v>6876283.7787542352</v>
      </c>
      <c r="AF30" s="14">
        <v>7012612.5196410734</v>
      </c>
      <c r="AG30" s="14">
        <v>7131396.5731532201</v>
      </c>
      <c r="AH30" s="14">
        <v>7337768.9688584115</v>
      </c>
      <c r="AI30" s="14">
        <v>7321881.7874976015</v>
      </c>
      <c r="AJ30" s="14">
        <v>7656195.9967450704</v>
      </c>
      <c r="AK30" s="14">
        <v>7626181.3152669761</v>
      </c>
      <c r="AL30" s="14">
        <v>7698346.9902631212</v>
      </c>
      <c r="AM30" s="14">
        <v>7688620.8825324569</v>
      </c>
      <c r="AN30" s="14">
        <v>7670843.6395261893</v>
      </c>
      <c r="AO30" s="14">
        <v>7761237.7612699773</v>
      </c>
      <c r="AP30" s="14">
        <v>7629583.6457999991</v>
      </c>
      <c r="AQ30" s="14">
        <v>8757098.7090713903</v>
      </c>
      <c r="AR30" s="14">
        <v>6809387.6055519208</v>
      </c>
      <c r="AS30" s="14">
        <v>7580223.0282012224</v>
      </c>
      <c r="AT30" s="14">
        <v>6086931</v>
      </c>
      <c r="AU30" s="14">
        <v>5747629.387968774</v>
      </c>
      <c r="AV30" s="14">
        <v>6399835.1184818773</v>
      </c>
      <c r="AW30" s="14">
        <v>6575142.440819012</v>
      </c>
      <c r="AX30" s="14">
        <v>6811394</v>
      </c>
      <c r="AY30" s="14">
        <v>7533773.8225739514</v>
      </c>
      <c r="AZ30" s="14">
        <v>7279659.6822753847</v>
      </c>
      <c r="BA30" s="14">
        <v>7606439.1292918446</v>
      </c>
      <c r="BB30" s="14">
        <v>7370021.7418010011</v>
      </c>
      <c r="BC30" s="14">
        <v>8348255.2580435686</v>
      </c>
      <c r="BD30" s="14">
        <v>8191764.7751377244</v>
      </c>
      <c r="BE30" s="14">
        <v>7803364.1861865669</v>
      </c>
      <c r="BF30" s="14">
        <v>7684688.4408</v>
      </c>
      <c r="BG30" s="14">
        <v>8132632.3016466359</v>
      </c>
      <c r="BH30" s="14">
        <v>8090459.7205943037</v>
      </c>
      <c r="BI30" s="14">
        <v>7668644.1412614863</v>
      </c>
      <c r="BJ30" s="14">
        <v>8009499.8398000002</v>
      </c>
      <c r="BK30" s="14">
        <v>7195116.2224620562</v>
      </c>
      <c r="BL30" s="14">
        <v>7502252.9416759424</v>
      </c>
      <c r="BM30" s="14">
        <v>7425879.1419355217</v>
      </c>
      <c r="BN30" s="14">
        <v>7867926.4512844086</v>
      </c>
      <c r="BO30" s="14">
        <v>7998048.3697795356</v>
      </c>
    </row>
    <row r="31" spans="1:67" ht="16.5" customHeight="1" x14ac:dyDescent="0.3">
      <c r="A31" s="29" t="s">
        <v>171</v>
      </c>
      <c r="B31" s="47">
        <v>4172604</v>
      </c>
      <c r="C31" s="47">
        <v>4233189</v>
      </c>
      <c r="D31" s="47">
        <v>4292122</v>
      </c>
      <c r="E31" s="47">
        <v>4398937</v>
      </c>
      <c r="F31" s="47">
        <v>5134776</v>
      </c>
      <c r="G31" s="47">
        <v>6098612.3573686667</v>
      </c>
      <c r="H31" s="47">
        <v>6180149</v>
      </c>
      <c r="I31" s="47">
        <v>6303869</v>
      </c>
      <c r="J31" s="47">
        <v>6516153</v>
      </c>
      <c r="K31" s="47">
        <v>6608204.5810000002</v>
      </c>
      <c r="L31" s="47">
        <v>6700256.1620000005</v>
      </c>
      <c r="M31" s="47">
        <v>6792308.7429999998</v>
      </c>
      <c r="N31" s="47">
        <v>6884958</v>
      </c>
      <c r="O31" s="47">
        <v>6623135.789217311</v>
      </c>
      <c r="P31" s="47">
        <v>5840648.8533380264</v>
      </c>
      <c r="Q31" s="47">
        <v>5599866.3602158101</v>
      </c>
      <c r="R31" s="47">
        <v>5233328.0416366905</v>
      </c>
      <c r="S31" s="47">
        <v>5019868.656894641</v>
      </c>
      <c r="T31" s="47">
        <v>4712661.1295994185</v>
      </c>
      <c r="U31" s="47">
        <v>4600938.7860115971</v>
      </c>
      <c r="V31" s="47">
        <v>4276350.7460550675</v>
      </c>
      <c r="W31" s="47">
        <v>5115693.1737939604</v>
      </c>
      <c r="X31" s="47">
        <v>5139523.5258292072</v>
      </c>
      <c r="Y31" s="47">
        <v>5640734.2676317766</v>
      </c>
      <c r="Z31" s="47">
        <v>6126736.7217459269</v>
      </c>
      <c r="AA31" s="47">
        <v>6172887.5066759214</v>
      </c>
      <c r="AB31" s="47">
        <v>6355069.3107798323</v>
      </c>
      <c r="AC31" s="47">
        <v>6629248.0685599465</v>
      </c>
      <c r="AD31" s="47">
        <v>6687842.2983079311</v>
      </c>
      <c r="AE31" s="47">
        <v>6876283.7787542352</v>
      </c>
      <c r="AF31" s="47">
        <v>7012612.5196410734</v>
      </c>
      <c r="AG31" s="47">
        <v>7131396.5731532201</v>
      </c>
      <c r="AH31" s="47">
        <v>7337768.9688584115</v>
      </c>
      <c r="AI31" s="47">
        <v>7321881.7874976015</v>
      </c>
      <c r="AJ31" s="96">
        <v>7656195.9967450704</v>
      </c>
      <c r="AK31" s="96">
        <v>7626181.3152669761</v>
      </c>
      <c r="AL31" s="96">
        <v>7698346.9902631212</v>
      </c>
      <c r="AM31" s="96">
        <v>7688620.8825324569</v>
      </c>
      <c r="AN31" s="47">
        <v>7670843.6395261893</v>
      </c>
      <c r="AO31" s="47">
        <v>7761237.7612699773</v>
      </c>
      <c r="AP31" s="47">
        <v>7629583.6457999991</v>
      </c>
      <c r="AQ31" s="47">
        <v>8757098.7090713903</v>
      </c>
      <c r="AR31" s="47">
        <v>6809387.6055519208</v>
      </c>
      <c r="AS31" s="47">
        <v>7580223.0282012224</v>
      </c>
      <c r="AT31" s="47">
        <v>6086931</v>
      </c>
      <c r="AU31" s="47">
        <v>5747629.387968774</v>
      </c>
      <c r="AV31" s="47">
        <v>6399835.1184818773</v>
      </c>
      <c r="AW31" s="47">
        <v>6575142.440819012</v>
      </c>
      <c r="AX31" s="47">
        <v>6811394</v>
      </c>
      <c r="AY31" s="47">
        <v>7533773.8225739514</v>
      </c>
      <c r="AZ31" s="47">
        <v>7279659.6822753847</v>
      </c>
      <c r="BA31" s="47">
        <v>7606439.1292918446</v>
      </c>
      <c r="BB31" s="47">
        <v>7370021.7418010011</v>
      </c>
      <c r="BC31" s="47">
        <v>8348255.2580435686</v>
      </c>
      <c r="BD31" s="47">
        <v>8191764.7751377244</v>
      </c>
      <c r="BE31" s="47">
        <v>7803364.1861865669</v>
      </c>
      <c r="BF31" s="47">
        <v>7684688.4408</v>
      </c>
      <c r="BG31" s="47">
        <v>8132632.3016466359</v>
      </c>
      <c r="BH31" s="47">
        <v>8090459.7205943037</v>
      </c>
      <c r="BI31" s="47">
        <v>7668644.1412614863</v>
      </c>
      <c r="BJ31" s="47">
        <v>8009499.8398000002</v>
      </c>
      <c r="BK31" s="47">
        <v>7195116.2224620562</v>
      </c>
      <c r="BL31" s="47">
        <v>7502252.9416759424</v>
      </c>
      <c r="BM31" s="47">
        <v>7425879.1419355217</v>
      </c>
      <c r="BN31" s="47">
        <v>7867926.4512844086</v>
      </c>
      <c r="BO31" s="47">
        <v>7998048.3697795356</v>
      </c>
    </row>
    <row r="32" spans="1:67" ht="9" customHeight="1" x14ac:dyDescent="0.3">
      <c r="A32" s="29"/>
      <c r="B32" s="19"/>
      <c r="C32" s="19"/>
      <c r="D32" s="19"/>
      <c r="E32" s="19"/>
      <c r="F32" s="19"/>
      <c r="G32" s="19"/>
      <c r="H32" s="19"/>
      <c r="I32" s="19"/>
      <c r="J32" s="95"/>
      <c r="K32" s="19"/>
      <c r="L32" s="19"/>
      <c r="M32" s="19"/>
      <c r="N32" s="19"/>
      <c r="O32" s="19"/>
      <c r="P32" s="19"/>
      <c r="Q32" s="47"/>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row>
    <row r="33" spans="1:67" s="52" customFormat="1" ht="16.5" customHeight="1" x14ac:dyDescent="0.3">
      <c r="A33" s="24" t="s">
        <v>170</v>
      </c>
      <c r="B33" s="94">
        <v>4038</v>
      </c>
      <c r="C33" s="94">
        <v>3859</v>
      </c>
      <c r="D33" s="94">
        <v>3654</v>
      </c>
      <c r="E33" s="94">
        <v>3283</v>
      </c>
      <c r="F33" s="94">
        <v>2759</v>
      </c>
      <c r="G33" s="94">
        <v>2739</v>
      </c>
      <c r="H33" s="94">
        <v>3853</v>
      </c>
      <c r="I33" s="94">
        <v>3034</v>
      </c>
      <c r="J33" s="14">
        <v>19452</v>
      </c>
      <c r="K33" s="14">
        <v>19287.751</v>
      </c>
      <c r="L33" s="14">
        <v>19122.502</v>
      </c>
      <c r="M33" s="14">
        <v>18958.253000000001</v>
      </c>
      <c r="N33" s="14">
        <v>18849</v>
      </c>
      <c r="O33" s="14">
        <v>17485.369842062391</v>
      </c>
      <c r="P33" s="14">
        <v>15888.018942057333</v>
      </c>
      <c r="Q33" s="14">
        <v>14232.183955195809</v>
      </c>
      <c r="R33" s="14">
        <v>13019.367999999999</v>
      </c>
      <c r="S33" s="14">
        <v>11602.56235152623</v>
      </c>
      <c r="T33" s="14">
        <v>11574.066374673575</v>
      </c>
      <c r="U33" s="14">
        <v>11829.48677548544</v>
      </c>
      <c r="V33" s="14">
        <v>12270.235098437071</v>
      </c>
      <c r="W33" s="14">
        <v>12678.657631481648</v>
      </c>
      <c r="X33" s="14">
        <v>13798.427981752047</v>
      </c>
      <c r="Y33" s="14">
        <v>14194.977467809715</v>
      </c>
      <c r="Z33" s="14">
        <v>14812.403999999999</v>
      </c>
      <c r="AA33" s="14">
        <v>15583.285240690609</v>
      </c>
      <c r="AB33" s="14">
        <v>15311.685162156977</v>
      </c>
      <c r="AC33" s="14">
        <v>16195.850951958519</v>
      </c>
      <c r="AD33" s="14">
        <v>14458.948999999999</v>
      </c>
      <c r="AE33" s="14">
        <v>14175.910200921986</v>
      </c>
      <c r="AF33" s="14">
        <v>13648.579454302149</v>
      </c>
      <c r="AG33" s="14">
        <v>16160.786889808136</v>
      </c>
      <c r="AH33" s="14">
        <v>17375.317145000001</v>
      </c>
      <c r="AI33" s="14">
        <v>16726.781952859852</v>
      </c>
      <c r="AJ33" s="14">
        <v>16820.34972777891</v>
      </c>
      <c r="AK33" s="14">
        <v>16453.663116840158</v>
      </c>
      <c r="AL33" s="14">
        <v>16304.228999999999</v>
      </c>
      <c r="AM33" s="14">
        <v>16434.132939548257</v>
      </c>
      <c r="AN33" s="14">
        <v>16112.218592922598</v>
      </c>
      <c r="AO33" s="14">
        <v>16046.443779940459</v>
      </c>
      <c r="AP33" s="14">
        <v>15628.79563000027</v>
      </c>
      <c r="AQ33" s="14">
        <v>16583.27128941788</v>
      </c>
      <c r="AR33" s="14">
        <v>17261.094886526243</v>
      </c>
      <c r="AS33" s="14">
        <v>17982.085147649977</v>
      </c>
      <c r="AT33" s="14">
        <v>18743.281837144787</v>
      </c>
      <c r="AU33" s="14">
        <v>18759.167501192289</v>
      </c>
      <c r="AV33" s="14">
        <v>19473.675172863546</v>
      </c>
      <c r="AW33" s="14">
        <v>19723.322049106024</v>
      </c>
      <c r="AX33" s="14">
        <v>21207.583419929979</v>
      </c>
      <c r="AY33" s="14">
        <v>21201.419391933774</v>
      </c>
      <c r="AZ33" s="14">
        <v>20886.898642193628</v>
      </c>
      <c r="BA33" s="14">
        <v>21254.666029919321</v>
      </c>
      <c r="BB33" s="14">
        <v>22262.028978390947</v>
      </c>
      <c r="BC33" s="14">
        <v>22818.79503495841</v>
      </c>
      <c r="BD33" s="14">
        <v>23563.203894970691</v>
      </c>
      <c r="BE33" s="14">
        <v>24261.619912526705</v>
      </c>
      <c r="BF33" s="14">
        <v>27678.998819945511</v>
      </c>
      <c r="BG33" s="14">
        <v>26937.35495704455</v>
      </c>
      <c r="BH33" s="14">
        <v>27580.686933864225</v>
      </c>
      <c r="BI33" s="14">
        <v>28641.989556391902</v>
      </c>
      <c r="BJ33" s="14">
        <v>30493.140469741506</v>
      </c>
      <c r="BK33" s="14">
        <v>30145.548281376425</v>
      </c>
      <c r="BL33" s="14">
        <v>29766.482460638228</v>
      </c>
      <c r="BM33" s="14">
        <v>29659.500678750315</v>
      </c>
      <c r="BN33" s="14">
        <v>29409.45412485813</v>
      </c>
      <c r="BO33" s="14">
        <v>29375.074517435369</v>
      </c>
    </row>
    <row r="34" spans="1:67" ht="14.25" customHeight="1" x14ac:dyDescent="0.3">
      <c r="A34" s="29" t="s">
        <v>167</v>
      </c>
      <c r="B34" s="51">
        <v>4038</v>
      </c>
      <c r="C34" s="51">
        <v>3859</v>
      </c>
      <c r="D34" s="51">
        <v>3654</v>
      </c>
      <c r="E34" s="51">
        <v>3283</v>
      </c>
      <c r="F34" s="51">
        <v>2759</v>
      </c>
      <c r="G34" s="51">
        <v>2739</v>
      </c>
      <c r="H34" s="51">
        <v>3853</v>
      </c>
      <c r="I34" s="51">
        <v>3034</v>
      </c>
      <c r="J34" s="47">
        <v>609</v>
      </c>
      <c r="K34" s="47">
        <v>632.75100000000009</v>
      </c>
      <c r="L34" s="47">
        <v>656.50200000000007</v>
      </c>
      <c r="M34" s="47">
        <v>680.25300000000004</v>
      </c>
      <c r="N34" s="47">
        <v>703</v>
      </c>
      <c r="O34" s="47">
        <v>773.30000000000007</v>
      </c>
      <c r="P34" s="47">
        <v>843.6</v>
      </c>
      <c r="Q34" s="47">
        <v>913.9</v>
      </c>
      <c r="R34" s="47">
        <v>981</v>
      </c>
      <c r="S34" s="47">
        <v>784.80000000000007</v>
      </c>
      <c r="T34" s="47">
        <v>539.55000000000007</v>
      </c>
      <c r="U34" s="47">
        <v>392.40000000000003</v>
      </c>
      <c r="V34" s="47">
        <v>338</v>
      </c>
      <c r="W34" s="47">
        <v>304.2</v>
      </c>
      <c r="X34" s="47">
        <v>270.40000000000003</v>
      </c>
      <c r="Y34" s="47">
        <v>236.6</v>
      </c>
      <c r="Z34" s="47">
        <v>190.10499999999999</v>
      </c>
      <c r="AA34" s="47">
        <v>180.59974999999997</v>
      </c>
      <c r="AB34" s="47">
        <v>161.58924999999999</v>
      </c>
      <c r="AC34" s="47">
        <v>142.57874999999999</v>
      </c>
      <c r="AD34" s="47">
        <v>139.36799999999999</v>
      </c>
      <c r="AE34" s="47">
        <v>118.46279999999999</v>
      </c>
      <c r="AF34" s="47">
        <v>97.557599999999994</v>
      </c>
      <c r="AG34" s="47">
        <v>83.620799999999988</v>
      </c>
      <c r="AH34" s="47">
        <v>69.152000000000044</v>
      </c>
      <c r="AI34" s="47">
        <v>72.609600000000043</v>
      </c>
      <c r="AJ34" s="47">
        <v>73.992640000000051</v>
      </c>
      <c r="AK34" s="47">
        <v>71.918080000000046</v>
      </c>
      <c r="AL34" s="47">
        <v>248.80600000000001</v>
      </c>
      <c r="AM34" s="47">
        <v>203.1933105084498</v>
      </c>
      <c r="AN34" s="47">
        <v>168.51838103527979</v>
      </c>
      <c r="AO34" s="47">
        <v>144.81805301383088</v>
      </c>
      <c r="AP34" s="47">
        <v>108.155</v>
      </c>
      <c r="AQ34" s="47">
        <v>102.77766897934686</v>
      </c>
      <c r="AR34" s="47">
        <v>119.5823429632942</v>
      </c>
      <c r="AS34" s="47">
        <v>129.88029398544381</v>
      </c>
      <c r="AT34" s="47">
        <v>187.398</v>
      </c>
      <c r="AU34" s="47">
        <v>197.66267052761768</v>
      </c>
      <c r="AV34" s="47">
        <v>247.62366726512855</v>
      </c>
      <c r="AW34" s="47">
        <v>273.61143569414469</v>
      </c>
      <c r="AX34" s="47">
        <v>155.405</v>
      </c>
      <c r="AY34" s="47">
        <v>197.39594522602408</v>
      </c>
      <c r="AZ34" s="47">
        <v>190.62325063908483</v>
      </c>
      <c r="BA34" s="47">
        <v>192.78890902054988</v>
      </c>
      <c r="BB34" s="47">
        <v>264.61</v>
      </c>
      <c r="BC34" s="47">
        <v>166.62749049223322</v>
      </c>
      <c r="BD34" s="47">
        <v>153.53477362928962</v>
      </c>
      <c r="BE34" s="47">
        <v>174.71459157007229</v>
      </c>
      <c r="BF34" s="47">
        <v>180.15293688547004</v>
      </c>
      <c r="BG34" s="47">
        <v>20.949284262297027</v>
      </c>
      <c r="BH34" s="47">
        <v>0</v>
      </c>
      <c r="BI34" s="47">
        <v>0</v>
      </c>
      <c r="BJ34" s="47">
        <v>0</v>
      </c>
      <c r="BK34" s="47">
        <v>0</v>
      </c>
      <c r="BL34" s="47">
        <v>0.86698977199490024</v>
      </c>
      <c r="BM34" s="47">
        <v>0</v>
      </c>
      <c r="BN34" s="47">
        <v>0</v>
      </c>
      <c r="BO34" s="47">
        <v>5</v>
      </c>
    </row>
    <row r="35" spans="1:67" ht="14.25" customHeight="1" x14ac:dyDescent="0.3">
      <c r="A35" s="29" t="s">
        <v>166</v>
      </c>
      <c r="B35" s="51">
        <v>0</v>
      </c>
      <c r="C35" s="51">
        <v>0</v>
      </c>
      <c r="D35" s="51">
        <v>0</v>
      </c>
      <c r="E35" s="51">
        <v>0</v>
      </c>
      <c r="F35" s="51">
        <v>0</v>
      </c>
      <c r="G35" s="51">
        <v>0</v>
      </c>
      <c r="H35" s="51">
        <v>0</v>
      </c>
      <c r="I35" s="51">
        <v>0</v>
      </c>
      <c r="J35" s="47">
        <v>18843</v>
      </c>
      <c r="K35" s="47">
        <v>18655</v>
      </c>
      <c r="L35" s="47">
        <v>18466</v>
      </c>
      <c r="M35" s="47">
        <v>18278</v>
      </c>
      <c r="N35" s="47">
        <v>18146</v>
      </c>
      <c r="O35" s="47">
        <v>16712.069842062392</v>
      </c>
      <c r="P35" s="47">
        <v>15044.418942057333</v>
      </c>
      <c r="Q35" s="47">
        <v>13318.28395519581</v>
      </c>
      <c r="R35" s="47">
        <v>12038.367999999999</v>
      </c>
      <c r="S35" s="47">
        <v>10817.762351526231</v>
      </c>
      <c r="T35" s="47">
        <v>11034.516374673576</v>
      </c>
      <c r="U35" s="47">
        <v>11437.086775485441</v>
      </c>
      <c r="V35" s="47">
        <v>11932.235098437071</v>
      </c>
      <c r="W35" s="47">
        <v>12374.457631481648</v>
      </c>
      <c r="X35" s="47">
        <v>13528.027981752048</v>
      </c>
      <c r="Y35" s="47">
        <v>13958.377467809714</v>
      </c>
      <c r="Z35" s="47">
        <v>14622.298999999999</v>
      </c>
      <c r="AA35" s="47">
        <v>15402.68549069061</v>
      </c>
      <c r="AB35" s="47">
        <v>15150.095912156976</v>
      </c>
      <c r="AC35" s="47">
        <v>16053.272201958518</v>
      </c>
      <c r="AD35" s="47">
        <v>14319.580999999998</v>
      </c>
      <c r="AE35" s="47">
        <v>14057.447400921987</v>
      </c>
      <c r="AF35" s="47">
        <v>13551.021854302149</v>
      </c>
      <c r="AG35" s="47">
        <v>16077.166089808135</v>
      </c>
      <c r="AH35" s="47">
        <v>17306.165144999999</v>
      </c>
      <c r="AI35" s="47">
        <v>16654.172352859852</v>
      </c>
      <c r="AJ35" s="47">
        <v>16746.35708777891</v>
      </c>
      <c r="AK35" s="47">
        <v>16381.745036840159</v>
      </c>
      <c r="AL35" s="47">
        <v>16055.422999999999</v>
      </c>
      <c r="AM35" s="47">
        <v>16230.939629039807</v>
      </c>
      <c r="AN35" s="47">
        <v>15943.700211887319</v>
      </c>
      <c r="AO35" s="47">
        <v>15901.625726926628</v>
      </c>
      <c r="AP35" s="47">
        <v>15520.640630000269</v>
      </c>
      <c r="AQ35" s="47">
        <v>16480.493620438534</v>
      </c>
      <c r="AR35" s="47">
        <v>17141.512543562949</v>
      </c>
      <c r="AS35" s="47">
        <v>17852.204853664534</v>
      </c>
      <c r="AT35" s="47">
        <v>18555.883837144786</v>
      </c>
      <c r="AU35" s="47">
        <v>18561.504830664671</v>
      </c>
      <c r="AV35" s="47">
        <v>19226.051505598418</v>
      </c>
      <c r="AW35" s="47">
        <v>19449.71061341188</v>
      </c>
      <c r="AX35" s="47">
        <v>21052.17841992998</v>
      </c>
      <c r="AY35" s="47">
        <v>21004.02344670775</v>
      </c>
      <c r="AZ35" s="47">
        <v>20696.275391554544</v>
      </c>
      <c r="BA35" s="47">
        <v>21061.877120898771</v>
      </c>
      <c r="BB35" s="47">
        <v>21997.418978390946</v>
      </c>
      <c r="BC35" s="47">
        <v>22652.167544466178</v>
      </c>
      <c r="BD35" s="47">
        <v>23409.669121341401</v>
      </c>
      <c r="BE35" s="47">
        <v>24086.905320956634</v>
      </c>
      <c r="BF35" s="47">
        <v>27498.845883060039</v>
      </c>
      <c r="BG35" s="47">
        <v>26916.405672782254</v>
      </c>
      <c r="BH35" s="47">
        <v>27580.686933864225</v>
      </c>
      <c r="BI35" s="47">
        <v>28641.989556391902</v>
      </c>
      <c r="BJ35" s="47">
        <v>30493.140469741506</v>
      </c>
      <c r="BK35" s="47">
        <v>30145.548281376425</v>
      </c>
      <c r="BL35" s="47">
        <v>29765.615470866232</v>
      </c>
      <c r="BM35" s="47">
        <v>29659.500678750315</v>
      </c>
      <c r="BN35" s="47">
        <v>29409.45412485813</v>
      </c>
      <c r="BO35" s="47">
        <v>29370.074517435369</v>
      </c>
    </row>
    <row r="36" spans="1:67" ht="10.5" customHeight="1" x14ac:dyDescent="0.3">
      <c r="A36" s="2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row>
    <row r="37" spans="1:67" ht="16.5" customHeight="1" x14ac:dyDescent="0.3">
      <c r="A37" s="93" t="s">
        <v>169</v>
      </c>
      <c r="B37" s="14">
        <v>11443</v>
      </c>
      <c r="C37" s="14">
        <v>1540</v>
      </c>
      <c r="D37" s="14">
        <v>1540</v>
      </c>
      <c r="E37" s="14">
        <v>1540</v>
      </c>
      <c r="F37" s="14">
        <v>13870</v>
      </c>
      <c r="G37" s="14">
        <v>1571</v>
      </c>
      <c r="H37" s="14">
        <v>1586</v>
      </c>
      <c r="I37" s="14">
        <v>1617</v>
      </c>
      <c r="J37" s="14">
        <v>11623</v>
      </c>
      <c r="K37" s="14">
        <v>12169.472000000002</v>
      </c>
      <c r="L37" s="14">
        <v>12715.944</v>
      </c>
      <c r="M37" s="14">
        <v>13262.415999999999</v>
      </c>
      <c r="N37" s="14">
        <v>13901</v>
      </c>
      <c r="O37" s="14">
        <v>14908.624000000002</v>
      </c>
      <c r="P37" s="14">
        <v>17091.882000000001</v>
      </c>
      <c r="Q37" s="14">
        <v>20947.529180000001</v>
      </c>
      <c r="R37" s="14">
        <v>17959.378000000001</v>
      </c>
      <c r="S37" s="14">
        <v>3168.0000000000005</v>
      </c>
      <c r="T37" s="14">
        <v>3600</v>
      </c>
      <c r="U37" s="14">
        <v>3744</v>
      </c>
      <c r="V37" s="14">
        <v>4152.3476794500002</v>
      </c>
      <c r="W37" s="14">
        <v>4645.4758738500004</v>
      </c>
      <c r="X37" s="14">
        <v>5531.7040682500001</v>
      </c>
      <c r="Y37" s="14">
        <v>6024.8322626499994</v>
      </c>
      <c r="Z37" s="14">
        <v>6474.1894570500008</v>
      </c>
      <c r="AA37" s="14">
        <v>6452.2425441075002</v>
      </c>
      <c r="AB37" s="14">
        <v>6401.0319861650005</v>
      </c>
      <c r="AC37" s="14">
        <v>6349.8214282224999</v>
      </c>
      <c r="AD37" s="14">
        <v>6355.4289652799998</v>
      </c>
      <c r="AE37" s="14">
        <v>6250.2066724762499</v>
      </c>
      <c r="AF37" s="14">
        <v>6256.7373196725002</v>
      </c>
      <c r="AG37" s="14">
        <v>5201.6150368687504</v>
      </c>
      <c r="AH37" s="14">
        <v>6403.625194065</v>
      </c>
      <c r="AI37" s="14">
        <v>6131.871519429179</v>
      </c>
      <c r="AJ37" s="14">
        <v>6293.8963454732439</v>
      </c>
      <c r="AK37" s="14">
        <v>6900.8974944287511</v>
      </c>
      <c r="AL37" s="14">
        <v>7401.3938412200005</v>
      </c>
      <c r="AM37" s="14">
        <v>7153.5273259910518</v>
      </c>
      <c r="AN37" s="14">
        <v>7365.4456378792993</v>
      </c>
      <c r="AO37" s="14">
        <v>7406.9887481536243</v>
      </c>
      <c r="AP37" s="14">
        <v>6977.5704779650005</v>
      </c>
      <c r="AQ37" s="14">
        <v>7653.4868194651299</v>
      </c>
      <c r="AR37" s="14">
        <v>7673.9060045251317</v>
      </c>
      <c r="AS37" s="14">
        <v>7631.3823962719807</v>
      </c>
      <c r="AT37" s="14">
        <v>7325.2877502532192</v>
      </c>
      <c r="AU37" s="14">
        <v>7736.8952227294103</v>
      </c>
      <c r="AV37" s="14">
        <v>8118.4642158450242</v>
      </c>
      <c r="AW37" s="14">
        <v>8657.2824316836195</v>
      </c>
      <c r="AX37" s="14">
        <v>8917.4400497606694</v>
      </c>
      <c r="AY37" s="14">
        <v>10834.355962428002</v>
      </c>
      <c r="AZ37" s="14">
        <v>11551.244443411169</v>
      </c>
      <c r="BA37" s="14">
        <v>12483.18436738367</v>
      </c>
      <c r="BB37" s="14">
        <v>12757.879557057828</v>
      </c>
      <c r="BC37" s="14">
        <v>12692.668516860263</v>
      </c>
      <c r="BD37" s="14">
        <v>12846.792441488864</v>
      </c>
      <c r="BE37" s="14">
        <v>13379.89419765925</v>
      </c>
      <c r="BF37" s="14">
        <v>13130.538340248171</v>
      </c>
      <c r="BG37" s="14">
        <v>11903.184288586315</v>
      </c>
      <c r="BH37" s="14">
        <v>12385.874768547148</v>
      </c>
      <c r="BI37" s="14">
        <v>12951.909958516364</v>
      </c>
      <c r="BJ37" s="14">
        <v>13448.873805571897</v>
      </c>
      <c r="BK37" s="14">
        <v>12049.914673080306</v>
      </c>
      <c r="BL37" s="14">
        <v>12610.032030463213</v>
      </c>
      <c r="BM37" s="14">
        <v>13192.645966752347</v>
      </c>
      <c r="BN37" s="14">
        <v>14247.654090453732</v>
      </c>
      <c r="BO37" s="14">
        <v>11573.495552687373</v>
      </c>
    </row>
    <row r="38" spans="1:67" s="8" customFormat="1" ht="16.5" customHeight="1" x14ac:dyDescent="0.3">
      <c r="A38" s="29" t="s">
        <v>167</v>
      </c>
      <c r="B38" s="47">
        <v>2872</v>
      </c>
      <c r="C38" s="51">
        <v>0</v>
      </c>
      <c r="D38" s="51">
        <v>0</v>
      </c>
      <c r="E38" s="51">
        <v>0</v>
      </c>
      <c r="F38" s="47">
        <v>2300</v>
      </c>
      <c r="G38" s="51">
        <v>0</v>
      </c>
      <c r="H38" s="51">
        <v>0</v>
      </c>
      <c r="I38" s="51">
        <v>0</v>
      </c>
      <c r="J38" s="47">
        <v>2477</v>
      </c>
      <c r="K38" s="47">
        <v>2566.172</v>
      </c>
      <c r="L38" s="47">
        <v>2655.3440000000001</v>
      </c>
      <c r="M38" s="47">
        <v>2744.5159999999996</v>
      </c>
      <c r="N38" s="47">
        <v>2831</v>
      </c>
      <c r="O38" s="47">
        <v>2842.3240000000001</v>
      </c>
      <c r="P38" s="47">
        <v>2853.6480000000001</v>
      </c>
      <c r="Q38" s="47">
        <v>2864.9720000000002</v>
      </c>
      <c r="R38" s="47">
        <v>2880</v>
      </c>
      <c r="S38" s="47">
        <v>3168.0000000000005</v>
      </c>
      <c r="T38" s="47">
        <v>3600</v>
      </c>
      <c r="U38" s="47">
        <v>3744</v>
      </c>
      <c r="V38" s="47">
        <v>3931</v>
      </c>
      <c r="W38" s="47">
        <v>4324.1000000000004</v>
      </c>
      <c r="X38" s="47">
        <v>5110.3</v>
      </c>
      <c r="Y38" s="47">
        <v>5503.4</v>
      </c>
      <c r="Z38" s="47">
        <v>5852.7290000000003</v>
      </c>
      <c r="AA38" s="47">
        <v>5794.2017100000003</v>
      </c>
      <c r="AB38" s="47">
        <v>5706.4107750000003</v>
      </c>
      <c r="AC38" s="47">
        <v>5618.6198400000003</v>
      </c>
      <c r="AD38" s="47">
        <v>5587.6469999999999</v>
      </c>
      <c r="AE38" s="47">
        <v>5308.2646500000001</v>
      </c>
      <c r="AF38" s="47">
        <v>5140.6352400000005</v>
      </c>
      <c r="AG38" s="47">
        <v>3911.3529000000003</v>
      </c>
      <c r="AH38" s="47">
        <v>4939.2030000000004</v>
      </c>
      <c r="AI38" s="47">
        <v>4787.839696149179</v>
      </c>
      <c r="AJ38" s="47">
        <v>4980.5603781732434</v>
      </c>
      <c r="AK38" s="47">
        <v>5209.6721098017506</v>
      </c>
      <c r="AL38" s="47">
        <v>5531.5769451599999</v>
      </c>
      <c r="AM38" s="47">
        <v>5428.4239522530524</v>
      </c>
      <c r="AN38" s="47">
        <v>5431.8471384232989</v>
      </c>
      <c r="AO38" s="47">
        <v>5355.892898725624</v>
      </c>
      <c r="AP38" s="47">
        <v>4818.9736540000004</v>
      </c>
      <c r="AQ38" s="47">
        <v>5508.9258567481311</v>
      </c>
      <c r="AR38" s="47">
        <v>5628.4312167501321</v>
      </c>
      <c r="AS38" s="47">
        <v>5636.6743461289807</v>
      </c>
      <c r="AT38" s="47">
        <v>5789.2837284632187</v>
      </c>
      <c r="AU38" s="47">
        <v>6183.0307995644098</v>
      </c>
      <c r="AV38" s="47">
        <v>6617.4637641230238</v>
      </c>
      <c r="AW38" s="47">
        <v>6893.0098143786208</v>
      </c>
      <c r="AX38" s="47">
        <v>6924.6068093176691</v>
      </c>
      <c r="AY38" s="47">
        <v>8226.8425614861699</v>
      </c>
      <c r="AZ38" s="47">
        <v>8978.4027957386024</v>
      </c>
      <c r="BA38" s="47">
        <v>9989.0134390491039</v>
      </c>
      <c r="BB38" s="47">
        <v>10264.011805893893</v>
      </c>
      <c r="BC38" s="47">
        <v>9973.8862004903294</v>
      </c>
      <c r="BD38" s="47">
        <v>10117.59642337193</v>
      </c>
      <c r="BE38" s="47">
        <v>10753.634029163593</v>
      </c>
      <c r="BF38" s="47">
        <v>10282.171112341588</v>
      </c>
      <c r="BG38" s="47">
        <v>9260.6296015185198</v>
      </c>
      <c r="BH38" s="47">
        <v>10195.315597049354</v>
      </c>
      <c r="BI38" s="47">
        <v>10815.121653518569</v>
      </c>
      <c r="BJ38" s="47">
        <v>11721.803880519101</v>
      </c>
      <c r="BK38" s="47">
        <v>10320.35646605751</v>
      </c>
      <c r="BL38" s="47">
        <v>10999.951270730418</v>
      </c>
      <c r="BM38" s="47">
        <v>11615.678167549186</v>
      </c>
      <c r="BN38" s="47">
        <v>12678.612170110937</v>
      </c>
      <c r="BO38" s="47">
        <v>10082.34396681205</v>
      </c>
    </row>
    <row r="39" spans="1:67" s="8" customFormat="1" ht="16.5" customHeight="1" x14ac:dyDescent="0.3">
      <c r="A39" s="29" t="s">
        <v>166</v>
      </c>
      <c r="B39" s="47">
        <v>8571</v>
      </c>
      <c r="C39" s="47">
        <v>1540</v>
      </c>
      <c r="D39" s="47">
        <v>1540</v>
      </c>
      <c r="E39" s="47">
        <v>1540</v>
      </c>
      <c r="F39" s="47">
        <v>11570</v>
      </c>
      <c r="G39" s="47">
        <v>1571</v>
      </c>
      <c r="H39" s="47">
        <v>1586</v>
      </c>
      <c r="I39" s="47">
        <v>1617</v>
      </c>
      <c r="J39" s="47">
        <v>9146</v>
      </c>
      <c r="K39" s="47">
        <v>9603.3000000000011</v>
      </c>
      <c r="L39" s="47">
        <v>10060.6</v>
      </c>
      <c r="M39" s="47">
        <v>10517.9</v>
      </c>
      <c r="N39" s="47">
        <v>11070</v>
      </c>
      <c r="O39" s="47">
        <v>12066.300000000001</v>
      </c>
      <c r="P39" s="47">
        <v>14238.234</v>
      </c>
      <c r="Q39" s="47">
        <v>18082.55718</v>
      </c>
      <c r="R39" s="47">
        <v>15079.378000000001</v>
      </c>
      <c r="S39" s="92">
        <v>0</v>
      </c>
      <c r="T39" s="92">
        <v>0</v>
      </c>
      <c r="U39" s="92">
        <v>0</v>
      </c>
      <c r="V39" s="47">
        <v>221.34767944999999</v>
      </c>
      <c r="W39" s="47">
        <v>321.37587385</v>
      </c>
      <c r="X39" s="47">
        <v>421.40406825000008</v>
      </c>
      <c r="Y39" s="47">
        <v>521.4322626500001</v>
      </c>
      <c r="Z39" s="47">
        <v>621.46045705000006</v>
      </c>
      <c r="AA39" s="47">
        <v>658.04083410750013</v>
      </c>
      <c r="AB39" s="47">
        <v>694.62121116499998</v>
      </c>
      <c r="AC39" s="47">
        <v>731.20158822249982</v>
      </c>
      <c r="AD39" s="47">
        <v>767.78196527999989</v>
      </c>
      <c r="AE39" s="47">
        <v>941.9420224762498</v>
      </c>
      <c r="AF39" s="47">
        <v>1116.1020796724999</v>
      </c>
      <c r="AG39" s="47">
        <v>1290.2621368687498</v>
      </c>
      <c r="AH39" s="47">
        <v>1464.4221940649998</v>
      </c>
      <c r="AI39" s="91">
        <v>1344.03182328</v>
      </c>
      <c r="AJ39" s="91">
        <v>1313.3359673</v>
      </c>
      <c r="AK39" s="91">
        <v>1691.225384627</v>
      </c>
      <c r="AL39" s="91">
        <v>1869.8168960600001</v>
      </c>
      <c r="AM39" s="91">
        <v>1725.1033737379996</v>
      </c>
      <c r="AN39" s="91">
        <v>1933.5984994560001</v>
      </c>
      <c r="AO39" s="91">
        <v>2051.0958494279998</v>
      </c>
      <c r="AP39" s="91">
        <v>2158.5968239650001</v>
      </c>
      <c r="AQ39" s="91">
        <v>2144.5609627169993</v>
      </c>
      <c r="AR39" s="91">
        <v>2045.4747877749999</v>
      </c>
      <c r="AS39" s="91">
        <v>1994.7080501429998</v>
      </c>
      <c r="AT39" s="91">
        <v>1536.0040217900007</v>
      </c>
      <c r="AU39" s="91">
        <v>1553.8644231650001</v>
      </c>
      <c r="AV39" s="91">
        <v>1501.000451722</v>
      </c>
      <c r="AW39" s="91">
        <v>1764.2726173049994</v>
      </c>
      <c r="AX39" s="91">
        <v>1992.8332404429996</v>
      </c>
      <c r="AY39" s="91">
        <v>2607.5134009418316</v>
      </c>
      <c r="AZ39" s="91">
        <v>2572.8416476725665</v>
      </c>
      <c r="BA39" s="91">
        <v>2494.1709283345672</v>
      </c>
      <c r="BB39" s="91">
        <v>2493.8677511639344</v>
      </c>
      <c r="BC39" s="91">
        <v>2718.7823163699331</v>
      </c>
      <c r="BD39" s="91">
        <v>2729.1960181169338</v>
      </c>
      <c r="BE39" s="91">
        <v>2626.260168495658</v>
      </c>
      <c r="BF39" s="91">
        <v>2848.3672279065827</v>
      </c>
      <c r="BG39" s="91">
        <v>2642.5546870677958</v>
      </c>
      <c r="BH39" s="91">
        <v>2190.5591714977945</v>
      </c>
      <c r="BI39" s="91">
        <v>2136.788304997795</v>
      </c>
      <c r="BJ39" s="91">
        <v>1727.069925052795</v>
      </c>
      <c r="BK39" s="91">
        <v>1729.5582070227949</v>
      </c>
      <c r="BL39" s="91">
        <v>1610.0807597327946</v>
      </c>
      <c r="BM39" s="91">
        <v>1576.9677992031613</v>
      </c>
      <c r="BN39" s="91">
        <v>1569.0419203427955</v>
      </c>
      <c r="BO39" s="91">
        <v>1491.1515858753228</v>
      </c>
    </row>
    <row r="40" spans="1:67" ht="10.5" customHeight="1" x14ac:dyDescent="0.3">
      <c r="A40" s="2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row>
    <row r="41" spans="1:67" ht="15.75" customHeight="1" x14ac:dyDescent="0.3">
      <c r="A41" s="24" t="s">
        <v>168</v>
      </c>
      <c r="B41" s="14">
        <v>4394303.8</v>
      </c>
      <c r="C41" s="14">
        <v>4439477.4000000004</v>
      </c>
      <c r="D41" s="14">
        <v>4525670.3</v>
      </c>
      <c r="E41" s="14">
        <v>4636338.5</v>
      </c>
      <c r="F41" s="14">
        <v>5375739.2000000002</v>
      </c>
      <c r="G41" s="14">
        <v>6334973.6783686671</v>
      </c>
      <c r="H41" s="14">
        <v>6413957.8710000003</v>
      </c>
      <c r="I41" s="14">
        <v>6561232.8199999994</v>
      </c>
      <c r="J41" s="14">
        <v>6808482.7999999998</v>
      </c>
      <c r="K41" s="14">
        <v>6903020.2039999999</v>
      </c>
      <c r="L41" s="14">
        <v>7025754.0080000004</v>
      </c>
      <c r="M41" s="14">
        <v>7105906.9719585627</v>
      </c>
      <c r="N41" s="14">
        <v>7211862.5</v>
      </c>
      <c r="O41" s="14">
        <v>6964985.7830593726</v>
      </c>
      <c r="P41" s="14">
        <v>6209271.2542800847</v>
      </c>
      <c r="Q41" s="14">
        <v>5974161.8733510049</v>
      </c>
      <c r="R41" s="14">
        <v>5606831.816567027</v>
      </c>
      <c r="S41" s="14">
        <v>5401102.5814415775</v>
      </c>
      <c r="T41" s="14">
        <v>5068051.9998331051</v>
      </c>
      <c r="U41" s="14">
        <v>4982330.6758950334</v>
      </c>
      <c r="V41" s="14">
        <v>4681813.7083862601</v>
      </c>
      <c r="W41" s="14">
        <v>5532105.4557507876</v>
      </c>
      <c r="X41" s="14">
        <v>5515448.1713226382</v>
      </c>
      <c r="Y41" s="14">
        <v>6011373.2645539241</v>
      </c>
      <c r="Z41" s="14">
        <v>6497238.5586616863</v>
      </c>
      <c r="AA41" s="14">
        <v>6557249.6752416734</v>
      </c>
      <c r="AB41" s="14">
        <v>6734267.6983386558</v>
      </c>
      <c r="AC41" s="14">
        <v>6998481.2403686969</v>
      </c>
      <c r="AD41" s="14">
        <v>7064581.4447349655</v>
      </c>
      <c r="AE41" s="14">
        <v>7250684.3327894034</v>
      </c>
      <c r="AF41" s="14">
        <v>7370642.9881484313</v>
      </c>
      <c r="AG41" s="14">
        <v>7485575.13947134</v>
      </c>
      <c r="AH41" s="14">
        <v>7694271.4427908594</v>
      </c>
      <c r="AI41" s="14">
        <v>7708095.7542002555</v>
      </c>
      <c r="AJ41" s="14">
        <v>8017815.8529532673</v>
      </c>
      <c r="AK41" s="14">
        <v>7998449.6605678787</v>
      </c>
      <c r="AL41" s="14">
        <v>8084356.2803247487</v>
      </c>
      <c r="AM41" s="14">
        <v>8084055.8285108171</v>
      </c>
      <c r="AN41" s="14">
        <v>8078930.7611060282</v>
      </c>
      <c r="AO41" s="14">
        <v>8183232.1102247164</v>
      </c>
      <c r="AP41" s="14">
        <v>8082482.9951265082</v>
      </c>
      <c r="AQ41" s="14">
        <v>9223997.0856974255</v>
      </c>
      <c r="AR41" s="14">
        <v>7307878.4451535763</v>
      </c>
      <c r="AS41" s="14">
        <v>8073769.9410418049</v>
      </c>
      <c r="AT41" s="14">
        <v>6578171.6293646349</v>
      </c>
      <c r="AU41" s="14">
        <v>6286074.1550858617</v>
      </c>
      <c r="AV41" s="14">
        <v>6998317.4916717932</v>
      </c>
      <c r="AW41" s="14">
        <v>7180214.2159161055</v>
      </c>
      <c r="AX41" s="14">
        <v>7442244.2352063172</v>
      </c>
      <c r="AY41" s="14">
        <v>8234300.3562791497</v>
      </c>
      <c r="AZ41" s="14">
        <v>8008964.1149773411</v>
      </c>
      <c r="BA41" s="14">
        <v>8368724.6223538164</v>
      </c>
      <c r="BB41" s="14">
        <v>8128620.7742271423</v>
      </c>
      <c r="BC41" s="14">
        <v>9153952.8410645165</v>
      </c>
      <c r="BD41" s="14">
        <v>9032763.7752397619</v>
      </c>
      <c r="BE41" s="14">
        <v>8629400.0927600972</v>
      </c>
      <c r="BF41" s="14">
        <v>8531254.4352246523</v>
      </c>
      <c r="BG41" s="14">
        <v>9036273.2121446766</v>
      </c>
      <c r="BH41" s="14">
        <v>9075120.7600942552</v>
      </c>
      <c r="BI41" s="14">
        <v>8574615.992888676</v>
      </c>
      <c r="BJ41" s="14">
        <v>8977919.4868480582</v>
      </c>
      <c r="BK41" s="14">
        <v>8137861.9565604562</v>
      </c>
      <c r="BL41" s="14">
        <v>8417338.4355549458</v>
      </c>
      <c r="BM41" s="14">
        <v>8419361.4473119844</v>
      </c>
      <c r="BN41" s="14">
        <v>8924895.7593897115</v>
      </c>
      <c r="BO41" s="14">
        <v>9123783.8267805837</v>
      </c>
    </row>
    <row r="42" spans="1:67" s="8" customFormat="1" x14ac:dyDescent="0.3">
      <c r="A42" s="29" t="s">
        <v>167</v>
      </c>
      <c r="B42" s="47">
        <v>39445.300000000003</v>
      </c>
      <c r="C42" s="47">
        <v>34745.199999999997</v>
      </c>
      <c r="D42" s="47">
        <v>40019.799999999996</v>
      </c>
      <c r="E42" s="47">
        <v>39250.6</v>
      </c>
      <c r="F42" s="47">
        <v>45142.400000000001</v>
      </c>
      <c r="G42" s="47">
        <v>59973.421000000002</v>
      </c>
      <c r="H42" s="47">
        <v>54193.370999999999</v>
      </c>
      <c r="I42" s="47">
        <v>50138.020000000004</v>
      </c>
      <c r="J42" s="47">
        <v>50437.599999999999</v>
      </c>
      <c r="K42" s="47">
        <v>52153.022999999994</v>
      </c>
      <c r="L42" s="47">
        <v>61380.84599999999</v>
      </c>
      <c r="M42" s="47">
        <v>59615.324436457086</v>
      </c>
      <c r="N42" s="47">
        <v>89083.5</v>
      </c>
      <c r="O42" s="47">
        <v>83061.623999999996</v>
      </c>
      <c r="P42" s="47">
        <v>91274.347999999998</v>
      </c>
      <c r="Q42" s="47">
        <v>92681.071999999986</v>
      </c>
      <c r="R42" s="47">
        <v>87293.044720424441</v>
      </c>
      <c r="S42" s="47">
        <v>181905.62875998384</v>
      </c>
      <c r="T42" s="47">
        <v>140531.4417173886</v>
      </c>
      <c r="U42" s="47">
        <v>147126.21952165058</v>
      </c>
      <c r="V42" s="47">
        <v>169533.90340220538</v>
      </c>
      <c r="W42" s="47">
        <v>177599.65237366629</v>
      </c>
      <c r="X42" s="47">
        <v>161977.97892752811</v>
      </c>
      <c r="Y42" s="47">
        <v>162526.92017119282</v>
      </c>
      <c r="Z42" s="47">
        <v>170493.71054444229</v>
      </c>
      <c r="AA42" s="47">
        <v>159713.89986538357</v>
      </c>
      <c r="AB42" s="47">
        <v>163590.53427431357</v>
      </c>
      <c r="AC42" s="47">
        <v>170214.24406606724</v>
      </c>
      <c r="AD42" s="47">
        <v>166536.78410311084</v>
      </c>
      <c r="AE42" s="47">
        <v>168487.75958451425</v>
      </c>
      <c r="AF42" s="47">
        <v>165199.37879524042</v>
      </c>
      <c r="AG42" s="47">
        <v>178271.36554821845</v>
      </c>
      <c r="AH42" s="47">
        <v>175380.0163062404</v>
      </c>
      <c r="AI42" s="47">
        <v>196554.53216588387</v>
      </c>
      <c r="AJ42" s="47">
        <v>171491.61240154254</v>
      </c>
      <c r="AK42" s="47">
        <v>174710.64609329953</v>
      </c>
      <c r="AL42" s="47">
        <v>166940.89111008457</v>
      </c>
      <c r="AM42" s="47">
        <v>178234.98673404192</v>
      </c>
      <c r="AN42" s="47">
        <v>185136.31379421728</v>
      </c>
      <c r="AO42" s="47">
        <v>184556.34403306013</v>
      </c>
      <c r="AP42" s="47">
        <v>209046.97415471601</v>
      </c>
      <c r="AQ42" s="47">
        <v>233182.65439888337</v>
      </c>
      <c r="AR42" s="47">
        <v>242115.02461741652</v>
      </c>
      <c r="AS42" s="47">
        <v>243253.86515488772</v>
      </c>
      <c r="AT42" s="47">
        <v>247702.14195484354</v>
      </c>
      <c r="AU42" s="47">
        <v>270858.64210264548</v>
      </c>
      <c r="AV42" s="47">
        <v>325890.02283419482</v>
      </c>
      <c r="AW42" s="47">
        <v>337918.41972428485</v>
      </c>
      <c r="AX42" s="47">
        <v>322456.87598137907</v>
      </c>
      <c r="AY42" s="47">
        <v>372480.83312796458</v>
      </c>
      <c r="AZ42" s="47">
        <v>358440.42928292137</v>
      </c>
      <c r="BA42" s="47">
        <v>372630.3039065192</v>
      </c>
      <c r="BB42" s="47">
        <v>365755.93906966253</v>
      </c>
      <c r="BC42" s="47">
        <v>404741.97430791327</v>
      </c>
      <c r="BD42" s="47">
        <v>408501.93573532894</v>
      </c>
      <c r="BE42" s="47">
        <v>413855.61094198545</v>
      </c>
      <c r="BF42" s="47">
        <v>417734.64842260943</v>
      </c>
      <c r="BG42" s="47">
        <v>466583.90145807248</v>
      </c>
      <c r="BH42" s="47">
        <v>538940.70228317578</v>
      </c>
      <c r="BI42" s="47">
        <v>488566.45238560409</v>
      </c>
      <c r="BJ42" s="47">
        <v>526492.18460186524</v>
      </c>
      <c r="BK42" s="47">
        <v>526442.51803075965</v>
      </c>
      <c r="BL42" s="47">
        <v>481029.96696738357</v>
      </c>
      <c r="BM42" s="47">
        <v>534235.90957761765</v>
      </c>
      <c r="BN42" s="47">
        <v>575398.93360217195</v>
      </c>
      <c r="BO42" s="47">
        <v>606329.89939601778</v>
      </c>
    </row>
    <row r="43" spans="1:67" s="8" customFormat="1" x14ac:dyDescent="0.3">
      <c r="A43" s="29" t="s">
        <v>166</v>
      </c>
      <c r="B43" s="47">
        <v>4354858.5</v>
      </c>
      <c r="C43" s="47">
        <v>4404732.2</v>
      </c>
      <c r="D43" s="47">
        <v>4485650.5</v>
      </c>
      <c r="E43" s="47">
        <v>4597087.9000000004</v>
      </c>
      <c r="F43" s="47">
        <v>5330596.8</v>
      </c>
      <c r="G43" s="47">
        <v>6275000.2573686671</v>
      </c>
      <c r="H43" s="47">
        <v>6359764.5</v>
      </c>
      <c r="I43" s="47">
        <v>6511094.7999999998</v>
      </c>
      <c r="J43" s="47">
        <v>6758045.2000000002</v>
      </c>
      <c r="K43" s="47">
        <v>6850867.1809999999</v>
      </c>
      <c r="L43" s="47">
        <v>6964373.1620000005</v>
      </c>
      <c r="M43" s="47">
        <v>7046291.6475221058</v>
      </c>
      <c r="N43" s="47">
        <v>7122779</v>
      </c>
      <c r="O43" s="47">
        <v>6881924.1590593727</v>
      </c>
      <c r="P43" s="47">
        <v>6117996.9062800845</v>
      </c>
      <c r="Q43" s="47">
        <v>5881480.8013510052</v>
      </c>
      <c r="R43" s="47">
        <v>5519538.7718466027</v>
      </c>
      <c r="S43" s="47">
        <v>5219196.9526815936</v>
      </c>
      <c r="T43" s="47">
        <v>4927520.5581157161</v>
      </c>
      <c r="U43" s="47">
        <v>4835204.4563733824</v>
      </c>
      <c r="V43" s="47">
        <v>4512279.8049840545</v>
      </c>
      <c r="W43" s="47">
        <v>5354505.8033771217</v>
      </c>
      <c r="X43" s="47">
        <v>5353470.1923951097</v>
      </c>
      <c r="Y43" s="47">
        <v>5848846.3443827312</v>
      </c>
      <c r="Z43" s="47">
        <v>6326744.8481172444</v>
      </c>
      <c r="AA43" s="47">
        <v>6397535.7753762901</v>
      </c>
      <c r="AB43" s="47">
        <v>6570677.1640643422</v>
      </c>
      <c r="AC43" s="47">
        <v>6828266.9963026298</v>
      </c>
      <c r="AD43" s="47">
        <v>6898044.660631855</v>
      </c>
      <c r="AE43" s="47">
        <v>7082196.573204889</v>
      </c>
      <c r="AF43" s="47">
        <v>7205443.6093531912</v>
      </c>
      <c r="AG43" s="47">
        <v>7307303.7739231214</v>
      </c>
      <c r="AH43" s="47">
        <v>7518891.4264846193</v>
      </c>
      <c r="AI43" s="47">
        <v>7511541.2220343715</v>
      </c>
      <c r="AJ43" s="47">
        <v>7846324.240551725</v>
      </c>
      <c r="AK43" s="47">
        <v>7823739.0144745791</v>
      </c>
      <c r="AL43" s="47">
        <v>7917415.3892146638</v>
      </c>
      <c r="AM43" s="47">
        <v>7905820.8417767752</v>
      </c>
      <c r="AN43" s="47">
        <v>7893794.4473118111</v>
      </c>
      <c r="AO43" s="47">
        <v>7998675.7661916558</v>
      </c>
      <c r="AP43" s="47">
        <v>7873436.0209717918</v>
      </c>
      <c r="AQ43" s="47">
        <v>8990814.4312985428</v>
      </c>
      <c r="AR43" s="47">
        <v>7065763.4205361595</v>
      </c>
      <c r="AS43" s="47">
        <v>7830516.0758869173</v>
      </c>
      <c r="AT43" s="47">
        <v>6330469.487409791</v>
      </c>
      <c r="AU43" s="47">
        <v>6015215.512983216</v>
      </c>
      <c r="AV43" s="47">
        <v>6672427.4688375983</v>
      </c>
      <c r="AW43" s="47">
        <v>6842295.7961918209</v>
      </c>
      <c r="AX43" s="47">
        <v>7119787.3592249379</v>
      </c>
      <c r="AY43" s="47">
        <v>7861819.5231511854</v>
      </c>
      <c r="AZ43" s="47">
        <v>7650523.6856944198</v>
      </c>
      <c r="BA43" s="47">
        <v>7996094.3184472974</v>
      </c>
      <c r="BB43" s="47">
        <v>7762864.8351574801</v>
      </c>
      <c r="BC43" s="47">
        <v>8749210.8667566031</v>
      </c>
      <c r="BD43" s="47">
        <v>8624261.8395044338</v>
      </c>
      <c r="BE43" s="47">
        <v>8215544.4818181125</v>
      </c>
      <c r="BF43" s="47">
        <v>8113519.7868020423</v>
      </c>
      <c r="BG43" s="47">
        <v>8569689.3106866032</v>
      </c>
      <c r="BH43" s="47">
        <v>8536180.0578110795</v>
      </c>
      <c r="BI43" s="47">
        <v>8086049.5405030716</v>
      </c>
      <c r="BJ43" s="47">
        <v>8451427.3022461925</v>
      </c>
      <c r="BK43" s="47">
        <v>7611419.4385296963</v>
      </c>
      <c r="BL43" s="47">
        <v>7936308.4685875624</v>
      </c>
      <c r="BM43" s="47">
        <v>7885125.537734367</v>
      </c>
      <c r="BN43" s="47">
        <v>8349496.8257875396</v>
      </c>
      <c r="BO43" s="47">
        <v>8517453.9273845665</v>
      </c>
    </row>
    <row r="44" spans="1:67" s="8" customFormat="1" ht="6.65" customHeight="1" x14ac:dyDescent="0.3">
      <c r="A44" s="29"/>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row>
    <row r="45" spans="1:67" s="8" customFormat="1" ht="28" x14ac:dyDescent="0.3">
      <c r="A45" s="90" t="s">
        <v>165</v>
      </c>
      <c r="B45" s="89">
        <v>47061.899999999441</v>
      </c>
      <c r="C45" s="89">
        <v>37581.600000000559</v>
      </c>
      <c r="D45" s="89">
        <v>36633.099999999627</v>
      </c>
      <c r="E45" s="89">
        <v>38873.400000000373</v>
      </c>
      <c r="F45" s="89">
        <v>52465.900000000373</v>
      </c>
      <c r="G45" s="89">
        <v>42193.921000000089</v>
      </c>
      <c r="H45" s="89">
        <v>43422.271000000648</v>
      </c>
      <c r="I45" s="89">
        <v>44224.719999999739</v>
      </c>
      <c r="J45" s="89">
        <v>73937.599999999627</v>
      </c>
      <c r="K45" s="89">
        <v>74217.922999999486</v>
      </c>
      <c r="L45" s="89">
        <v>77340.645999999717</v>
      </c>
      <c r="M45" s="89">
        <v>78945.668999999762</v>
      </c>
      <c r="N45" s="89">
        <v>79881</v>
      </c>
      <c r="O45" s="89">
        <v>81020.693842061795</v>
      </c>
      <c r="P45" s="89">
        <v>86787.600942058489</v>
      </c>
      <c r="Q45" s="89">
        <v>91920.913135195151</v>
      </c>
      <c r="R45" s="89">
        <v>88973.945999998599</v>
      </c>
      <c r="S45" s="89">
        <v>74892.438652540557</v>
      </c>
      <c r="T45" s="89">
        <v>77956.104269278236</v>
      </c>
      <c r="U45" s="89">
        <v>78258.924438611604</v>
      </c>
      <c r="V45" s="89">
        <v>79463.383475053124</v>
      </c>
      <c r="W45" s="89">
        <v>86125.975844170898</v>
      </c>
      <c r="X45" s="89">
        <v>86918.64202721417</v>
      </c>
      <c r="Y45" s="89">
        <v>87742.018116714433</v>
      </c>
      <c r="Z45" s="89">
        <v>89112.402245166712</v>
      </c>
      <c r="AA45" s="89">
        <v>88740.356437001377</v>
      </c>
      <c r="AB45" s="89">
        <v>87935.095678308047</v>
      </c>
      <c r="AC45" s="89">
        <v>88552.395065188408</v>
      </c>
      <c r="AD45" s="89">
        <v>85273.559552541003</v>
      </c>
      <c r="AE45" s="89">
        <v>78834.449722843245</v>
      </c>
      <c r="AF45" s="89">
        <v>79180.919415235519</v>
      </c>
      <c r="AG45" s="89">
        <v>78801.401926677674</v>
      </c>
      <c r="AH45" s="89">
        <v>81502.942339064553</v>
      </c>
      <c r="AI45" s="89">
        <v>79429.079950147308</v>
      </c>
      <c r="AJ45" s="89">
        <v>80665.806497890502</v>
      </c>
      <c r="AK45" s="89">
        <v>78725.63740015775</v>
      </c>
      <c r="AL45" s="89">
        <v>78564.12486560829</v>
      </c>
      <c r="AM45" s="89">
        <v>76854.870390059426</v>
      </c>
      <c r="AN45" s="89">
        <v>76796.682403058745</v>
      </c>
      <c r="AO45" s="89">
        <v>75417.298283267766</v>
      </c>
      <c r="AP45" s="89">
        <v>79058.00372979138</v>
      </c>
      <c r="AQ45" s="89">
        <v>77822.486432179809</v>
      </c>
      <c r="AR45" s="89">
        <v>99712.686448696069</v>
      </c>
      <c r="AS45" s="89">
        <v>116377.82006134465</v>
      </c>
      <c r="AT45" s="89">
        <v>111105.39049692918</v>
      </c>
      <c r="AU45" s="89">
        <v>124856.24343324546</v>
      </c>
      <c r="AV45" s="89">
        <v>134160.02159323636</v>
      </c>
      <c r="AW45" s="89">
        <v>157919.78812171146</v>
      </c>
      <c r="AX45" s="89">
        <v>168955.09307755716</v>
      </c>
      <c r="AY45" s="89">
        <v>176180.3708053818</v>
      </c>
      <c r="AZ45" s="89">
        <v>186941.84684248082</v>
      </c>
      <c r="BA45" s="89">
        <v>182476.75636293273</v>
      </c>
      <c r="BB45" s="89">
        <v>198076.22228142619</v>
      </c>
      <c r="BC45" s="89">
        <v>206247.63395430334</v>
      </c>
      <c r="BD45" s="89">
        <v>214869.15333990008</v>
      </c>
      <c r="BE45" s="89">
        <v>209685.30281374604</v>
      </c>
      <c r="BF45" s="89">
        <v>219505.43075047247</v>
      </c>
      <c r="BG45" s="89">
        <v>218948.02683449909</v>
      </c>
      <c r="BH45" s="89">
        <v>218301.09065500088</v>
      </c>
      <c r="BI45" s="89">
        <v>221533.11980158463</v>
      </c>
      <c r="BJ45" s="89">
        <v>236865.953176843</v>
      </c>
      <c r="BK45" s="89">
        <v>229111.04076204076</v>
      </c>
      <c r="BL45" s="89">
        <v>232428.98863437865</v>
      </c>
      <c r="BM45" s="89">
        <v>237228.91200407781</v>
      </c>
      <c r="BN45" s="89">
        <v>242525.0774168158</v>
      </c>
      <c r="BO45" s="89">
        <v>235159.9348320663</v>
      </c>
    </row>
    <row r="46" spans="1:67" ht="6.65" customHeight="1" x14ac:dyDescent="0.3">
      <c r="A46" s="30"/>
      <c r="B46" s="30"/>
      <c r="C46" s="30"/>
      <c r="D46" s="30"/>
      <c r="E46" s="30"/>
      <c r="F46" s="30"/>
      <c r="G46" s="30"/>
      <c r="H46" s="31"/>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row>
    <row r="47" spans="1:67" ht="16" x14ac:dyDescent="0.35">
      <c r="A47" s="23" t="s">
        <v>1010</v>
      </c>
      <c r="B47" s="32">
        <v>0.16130568008883944</v>
      </c>
      <c r="C47" s="32">
        <v>0.12743672517158317</v>
      </c>
      <c r="D47" s="32">
        <v>0.12296411416602486</v>
      </c>
      <c r="E47" s="32">
        <v>0.12859170164835834</v>
      </c>
      <c r="F47" s="32">
        <v>0.17036761625811517</v>
      </c>
      <c r="G47" s="32">
        <v>0.13433148043794579</v>
      </c>
      <c r="H47" s="32">
        <v>0.13531950811345006</v>
      </c>
      <c r="I47" s="32">
        <v>0.13550859324490286</v>
      </c>
      <c r="J47" s="32">
        <v>0.22361491258048502</v>
      </c>
      <c r="K47" s="32">
        <v>0.22199466683416783</v>
      </c>
      <c r="L47" s="32">
        <v>0.22798478345458537</v>
      </c>
      <c r="M47" s="32">
        <v>0.22957263995393687</v>
      </c>
      <c r="N47" s="32">
        <v>0.22781225402402436</v>
      </c>
      <c r="O47" s="32">
        <v>0.22769174994607555</v>
      </c>
      <c r="P47" s="32">
        <v>0.24016537511016114</v>
      </c>
      <c r="Q47" s="32">
        <v>0.25042953779207677</v>
      </c>
      <c r="R47" s="32">
        <v>0.2330631262131308</v>
      </c>
      <c r="S47" s="32">
        <v>0.19354101765959844</v>
      </c>
      <c r="T47" s="32">
        <v>0.19786014139554267</v>
      </c>
      <c r="U47" s="32">
        <v>0.19564290913107357</v>
      </c>
      <c r="V47" s="32">
        <v>0.19613808430432228</v>
      </c>
      <c r="W47" s="32">
        <v>0.20945542412065202</v>
      </c>
      <c r="X47" s="32">
        <v>0.20894055011746279</v>
      </c>
      <c r="Y47" s="32">
        <v>0.20809601063630861</v>
      </c>
      <c r="Z47" s="32">
        <v>0.20900398540498377</v>
      </c>
      <c r="AA47" s="32">
        <v>0.20501505479290971</v>
      </c>
      <c r="AB47" s="32">
        <v>0.20009442252520787</v>
      </c>
      <c r="AC47" s="32">
        <v>0.19858893553196716</v>
      </c>
      <c r="AD47" s="32">
        <v>0.18806250893748347</v>
      </c>
      <c r="AE47" s="32">
        <v>0.17171445500747817</v>
      </c>
      <c r="AF47" s="32">
        <v>0.16984433493831044</v>
      </c>
      <c r="AG47" s="32">
        <v>0.16694540246616699</v>
      </c>
      <c r="AH47" s="32">
        <v>0.17008623444563187</v>
      </c>
      <c r="AI47" s="32">
        <v>0.16383818538320244</v>
      </c>
      <c r="AJ47" s="32">
        <v>0.16364854915471344</v>
      </c>
      <c r="AK47" s="32">
        <v>0.15752436610618878</v>
      </c>
      <c r="AL47" s="32">
        <v>0.1547832829938596</v>
      </c>
      <c r="AM47" s="32">
        <v>0.14997593978327445</v>
      </c>
      <c r="AN47" s="32">
        <v>0.14909111142335502</v>
      </c>
      <c r="AO47" s="32">
        <v>0.14521198837659383</v>
      </c>
      <c r="AP47" s="32">
        <v>0.152175677704702</v>
      </c>
      <c r="AQ47" s="32">
        <v>0.15026459864526717</v>
      </c>
      <c r="AR47" s="32">
        <v>0.20863319010969333</v>
      </c>
      <c r="AS47" s="32">
        <v>0.25061820184068206</v>
      </c>
      <c r="AT47" s="32">
        <v>0.24413884365309174</v>
      </c>
      <c r="AU47" s="32">
        <v>0.27971092404888581</v>
      </c>
      <c r="AV47" s="32">
        <v>0.29020812001418239</v>
      </c>
      <c r="AW47" s="32">
        <v>0.33552196580125621</v>
      </c>
      <c r="AX47" s="32">
        <v>0.34868597760708364</v>
      </c>
      <c r="AY47" s="32">
        <v>0.35235228515591988</v>
      </c>
      <c r="AZ47" s="32">
        <v>0.35584383464385672</v>
      </c>
      <c r="BA47" s="32">
        <v>0.33362236882479163</v>
      </c>
      <c r="BB47" s="32">
        <v>0.34654883107771289</v>
      </c>
      <c r="BC47" s="32">
        <v>0.35071356610376708</v>
      </c>
      <c r="BD47" s="32">
        <v>0.35482074494964272</v>
      </c>
      <c r="BE47" s="32">
        <v>0.33821246588806114</v>
      </c>
      <c r="BF47" s="32">
        <v>0.34458710342141013</v>
      </c>
      <c r="BG47" s="32">
        <v>0.33651230072974275</v>
      </c>
      <c r="BH47" s="32">
        <v>0.3284041722842117</v>
      </c>
      <c r="BI47" s="32">
        <v>0.32592155777745113</v>
      </c>
      <c r="BJ47" s="32">
        <v>0.34162783776740729</v>
      </c>
      <c r="BK47" s="32">
        <v>0.32505120375520435</v>
      </c>
      <c r="BL47" s="32">
        <v>0.32414659058778222</v>
      </c>
      <c r="BM47" s="32">
        <v>0.32553477803220621</v>
      </c>
      <c r="BN47" s="32">
        <v>0.32632106324836291</v>
      </c>
      <c r="BO47" s="32">
        <v>0.31149899306169621</v>
      </c>
    </row>
    <row r="48" spans="1:67" ht="16" x14ac:dyDescent="0.35">
      <c r="A48" s="23" t="s">
        <v>1011</v>
      </c>
      <c r="B48" s="32">
        <v>0.33832898397566835</v>
      </c>
      <c r="C48" s="32">
        <v>0.26354743020638688</v>
      </c>
      <c r="D48" s="32">
        <v>0.24802705520724469</v>
      </c>
      <c r="E48" s="32">
        <v>0.25867314346553349</v>
      </c>
      <c r="F48" s="32">
        <v>0.33250248746760191</v>
      </c>
      <c r="G48" s="32">
        <v>0.25756112464214043</v>
      </c>
      <c r="H48" s="32">
        <v>0.26148543297603666</v>
      </c>
      <c r="I48" s="32">
        <v>0.25638559245882292</v>
      </c>
      <c r="J48" s="32">
        <v>0.42638678238804895</v>
      </c>
      <c r="K48" s="32">
        <v>0.41753870864298648</v>
      </c>
      <c r="L48" s="32">
        <v>0.41491095100400593</v>
      </c>
      <c r="M48" s="32">
        <v>0.42527362296980503</v>
      </c>
      <c r="N48" s="32">
        <v>0.42350677029763861</v>
      </c>
      <c r="O48" s="32">
        <v>0.40054424085058182</v>
      </c>
      <c r="P48" s="32">
        <v>0.40784127518818825</v>
      </c>
      <c r="Q48" s="32">
        <v>0.40349328353040326</v>
      </c>
      <c r="R48" s="32">
        <v>0.36282427638178089</v>
      </c>
      <c r="S48" s="32">
        <v>0.30700039210056429</v>
      </c>
      <c r="T48" s="32">
        <v>0.30965066937807884</v>
      </c>
      <c r="U48" s="32">
        <v>0.30052311724484027</v>
      </c>
      <c r="V48" s="32">
        <v>0.30260698363666289</v>
      </c>
      <c r="W48" s="32">
        <v>0.32143514583070554</v>
      </c>
      <c r="X48" s="32">
        <v>0.31974309067946161</v>
      </c>
      <c r="Y48" s="32">
        <v>0.32076602647781277</v>
      </c>
      <c r="Z48" s="32">
        <v>0.32370961819629368</v>
      </c>
      <c r="AA48" s="32">
        <v>0.32128206901708278</v>
      </c>
      <c r="AB48" s="32">
        <v>0.31933085552435442</v>
      </c>
      <c r="AC48" s="32">
        <v>0.32150132178739155</v>
      </c>
      <c r="AD48" s="32">
        <v>0.30805920166086004</v>
      </c>
      <c r="AE48" s="32">
        <v>0.27982468807801586</v>
      </c>
      <c r="AF48" s="32">
        <v>0.28066795011709905</v>
      </c>
      <c r="AG48" s="32">
        <v>0.27685071030153591</v>
      </c>
      <c r="AH48" s="32">
        <v>0.28186007912223487</v>
      </c>
      <c r="AI48" s="32">
        <v>0.27096508746903231</v>
      </c>
      <c r="AJ48" s="32">
        <v>0.27555161523209948</v>
      </c>
      <c r="AK48" s="32">
        <v>0.26866250802024977</v>
      </c>
      <c r="AL48" s="32">
        <v>0.26428185736259574</v>
      </c>
      <c r="AM48" s="32">
        <v>0.25643848499023836</v>
      </c>
      <c r="AN48" s="32">
        <v>0.25156310773478191</v>
      </c>
      <c r="AO48" s="32">
        <v>0.24333184361696533</v>
      </c>
      <c r="AP48" s="32">
        <v>0.25217220527001344</v>
      </c>
      <c r="AQ48" s="32">
        <v>0.25248350711869072</v>
      </c>
      <c r="AR48" s="32">
        <v>0.34991327483014018</v>
      </c>
      <c r="AS48" s="32">
        <v>0.42685057038451252</v>
      </c>
      <c r="AT48" s="32">
        <v>0.44099415541185577</v>
      </c>
      <c r="AU48" s="32">
        <v>0.52184336467961823</v>
      </c>
      <c r="AV48" s="32">
        <v>0.53106391526268726</v>
      </c>
      <c r="AW48" s="32">
        <v>0.59310814368661768</v>
      </c>
      <c r="AX48" s="32">
        <v>0.57380476988238005</v>
      </c>
      <c r="AY48" s="32">
        <v>0.55529407012671006</v>
      </c>
      <c r="AZ48" s="32">
        <v>0.54196567693575515</v>
      </c>
      <c r="BA48" s="32">
        <v>0.50022137646366349</v>
      </c>
      <c r="BB48" s="32">
        <v>0.51701100517706344</v>
      </c>
      <c r="BC48" s="32">
        <v>0.50826950780292801</v>
      </c>
      <c r="BD48" s="32">
        <v>0.514604886071102</v>
      </c>
      <c r="BE48" s="32">
        <v>0.48792278043272974</v>
      </c>
      <c r="BF48" s="32">
        <v>0.49910397875045753</v>
      </c>
      <c r="BG48" s="32">
        <v>0.49098971779217254</v>
      </c>
      <c r="BH48" s="32">
        <v>0.47625103224659532</v>
      </c>
      <c r="BI48" s="32">
        <v>0.47841539641335956</v>
      </c>
      <c r="BJ48" s="32">
        <v>0.50904978009680213</v>
      </c>
      <c r="BK48" s="32">
        <v>0.49649058265387708</v>
      </c>
      <c r="BL48" s="32">
        <v>0.50213225912837478</v>
      </c>
      <c r="BM48" s="32">
        <v>0.50201546070827574</v>
      </c>
      <c r="BN48" s="32">
        <v>0.50175145372222973</v>
      </c>
      <c r="BO48" s="32">
        <v>0.47179186026816927</v>
      </c>
    </row>
    <row r="49" spans="1:219" ht="2.4" customHeight="1" x14ac:dyDescent="0.3">
      <c r="A49" s="7"/>
      <c r="B49" s="7"/>
      <c r="C49" s="7"/>
      <c r="D49" s="7"/>
      <c r="E49" s="7"/>
      <c r="F49" s="7"/>
      <c r="G49" s="7"/>
      <c r="H49" s="88"/>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row>
    <row r="50" spans="1:219" ht="8.15" customHeight="1" x14ac:dyDescent="0.3">
      <c r="A50" s="85"/>
      <c r="H50" s="2"/>
    </row>
    <row r="51" spans="1:219" ht="12.25" customHeight="1" x14ac:dyDescent="0.3">
      <c r="A51" s="1236" t="s">
        <v>164</v>
      </c>
      <c r="B51" s="1236"/>
      <c r="C51" s="1236"/>
      <c r="D51" s="1236"/>
      <c r="E51" s="1236"/>
      <c r="F51" s="1236"/>
      <c r="G51" s="1236"/>
      <c r="H51" s="1236"/>
      <c r="I51" s="1236"/>
      <c r="J51" s="1236"/>
      <c r="K51" s="1236"/>
      <c r="L51" s="1236"/>
      <c r="M51" s="1236"/>
      <c r="N51" s="1236"/>
      <c r="O51" s="1236"/>
      <c r="P51" s="1236"/>
      <c r="Q51" s="1236"/>
      <c r="R51" s="1236"/>
      <c r="S51" s="1236"/>
      <c r="T51" s="1236"/>
      <c r="U51" s="1236"/>
      <c r="V51" s="1236"/>
      <c r="W51" s="1236"/>
      <c r="X51" s="1236"/>
      <c r="Y51" s="1236"/>
      <c r="Z51" s="1236"/>
      <c r="AA51" s="1236"/>
      <c r="AB51" s="1236"/>
      <c r="AC51" s="1236"/>
      <c r="AD51" s="1236"/>
      <c r="AE51" s="1236"/>
      <c r="AF51" s="1236"/>
      <c r="AG51" s="1236"/>
      <c r="AH51" s="1236"/>
      <c r="AI51" s="1236"/>
      <c r="AJ51" s="1236"/>
      <c r="AK51" s="1236"/>
      <c r="AL51" s="1236"/>
      <c r="AM51" s="1236"/>
      <c r="AN51" s="1236"/>
      <c r="AO51" s="1236"/>
      <c r="AP51" s="1236"/>
      <c r="AQ51" s="1236"/>
      <c r="AR51" s="1236"/>
      <c r="AS51" s="1236"/>
      <c r="AT51" s="1236"/>
      <c r="AU51" s="1236"/>
      <c r="AV51" s="1236"/>
      <c r="AW51" s="1236"/>
      <c r="AX51" s="1236"/>
      <c r="AY51" s="1236"/>
      <c r="AZ51" s="1236"/>
      <c r="BA51" s="1236"/>
      <c r="BB51" s="1236"/>
      <c r="BC51" s="1236"/>
      <c r="BD51" s="1236"/>
      <c r="BE51" s="1236"/>
      <c r="BF51" s="1236"/>
      <c r="BG51" s="1236"/>
      <c r="BH51" s="1236"/>
      <c r="BI51" s="1236"/>
      <c r="BJ51" s="1236"/>
      <c r="BK51" s="1236"/>
      <c r="BL51" s="1236"/>
      <c r="BM51" s="1236"/>
      <c r="BN51" s="1236"/>
      <c r="BO51" s="1236"/>
    </row>
    <row r="52" spans="1:219" ht="18" customHeight="1" x14ac:dyDescent="0.3">
      <c r="A52" s="1237" t="s">
        <v>163</v>
      </c>
      <c r="B52" s="1237"/>
      <c r="C52" s="1237"/>
      <c r="D52" s="1237"/>
      <c r="E52" s="1237"/>
      <c r="F52" s="1237"/>
      <c r="G52" s="1237"/>
      <c r="H52" s="1237"/>
      <c r="I52" s="1237"/>
      <c r="J52" s="1237"/>
      <c r="K52" s="1237"/>
      <c r="L52" s="1237"/>
      <c r="M52" s="1237"/>
      <c r="N52" s="1237"/>
      <c r="O52" s="1237"/>
      <c r="P52" s="1237"/>
      <c r="Q52" s="1237"/>
      <c r="R52" s="1237"/>
      <c r="S52" s="1237"/>
      <c r="T52" s="1237"/>
      <c r="U52" s="1237"/>
      <c r="V52" s="1237"/>
      <c r="W52" s="1237"/>
      <c r="X52" s="1237"/>
      <c r="Y52" s="1237"/>
      <c r="Z52" s="1237"/>
      <c r="AA52" s="1237"/>
      <c r="AB52" s="1237"/>
      <c r="AC52" s="1237"/>
      <c r="AD52" s="1237"/>
      <c r="AE52" s="1237"/>
      <c r="AF52" s="1237"/>
      <c r="AG52" s="1237"/>
      <c r="AH52" s="1237"/>
      <c r="AI52" s="1237"/>
      <c r="AJ52" s="1237"/>
      <c r="AK52" s="1237"/>
      <c r="AL52" s="1237"/>
      <c r="AM52" s="1237"/>
      <c r="AN52" s="1237"/>
      <c r="AO52" s="1237"/>
      <c r="AP52" s="1237"/>
      <c r="AQ52" s="1237"/>
      <c r="AR52" s="1237"/>
      <c r="AS52" s="1237"/>
      <c r="AT52" s="1237"/>
      <c r="AU52" s="1237"/>
      <c r="AV52" s="1237"/>
      <c r="AW52" s="1237"/>
      <c r="AX52" s="1237"/>
      <c r="AY52" s="1237"/>
      <c r="AZ52" s="1237"/>
      <c r="BA52" s="1237"/>
      <c r="BB52" s="1237"/>
      <c r="BC52" s="1237"/>
      <c r="BD52" s="1237"/>
      <c r="BE52" s="1237"/>
      <c r="BF52" s="1237"/>
      <c r="BG52" s="1237"/>
      <c r="BH52" s="1237"/>
      <c r="BI52" s="1237"/>
      <c r="BJ52" s="1237"/>
      <c r="BK52" s="1237"/>
      <c r="BL52" s="1237"/>
      <c r="BM52" s="1237"/>
      <c r="BN52" s="1237"/>
      <c r="BO52" s="1237"/>
    </row>
    <row r="53" spans="1:219" s="87" customFormat="1" ht="36" hidden="1" customHeight="1" x14ac:dyDescent="0.35">
      <c r="A53" s="1238" t="s">
        <v>162</v>
      </c>
      <c r="B53" s="1238"/>
      <c r="C53" s="1238"/>
      <c r="D53" s="1238"/>
      <c r="E53" s="1238"/>
      <c r="F53" s="1238"/>
      <c r="G53" s="1238"/>
      <c r="H53" s="1238"/>
      <c r="I53" s="1238"/>
      <c r="J53" s="1238"/>
      <c r="K53" s="1238"/>
      <c r="L53" s="1238"/>
      <c r="M53" s="1238"/>
      <c r="N53" s="1238"/>
      <c r="O53" s="1238"/>
      <c r="P53" s="1238"/>
      <c r="Q53" s="1238"/>
      <c r="R53" s="1238"/>
      <c r="S53" s="1238"/>
      <c r="T53" s="1238"/>
      <c r="U53" s="1238"/>
      <c r="V53" s="1238"/>
      <c r="W53" s="1238"/>
      <c r="X53" s="1238"/>
      <c r="Y53" s="1238"/>
      <c r="Z53" s="1238"/>
      <c r="AA53" s="1238"/>
      <c r="AB53" s="1238"/>
      <c r="AC53" s="1238"/>
      <c r="AD53" s="1238"/>
      <c r="AE53" s="1238"/>
      <c r="AF53" s="1238"/>
      <c r="AG53" s="1238"/>
      <c r="AH53" s="1238"/>
      <c r="AI53" s="1238"/>
      <c r="AJ53" s="1238"/>
      <c r="AK53" s="1238"/>
      <c r="AL53" s="1238"/>
      <c r="AM53" s="1238"/>
      <c r="AN53" s="1238"/>
      <c r="AO53" s="1238"/>
      <c r="AP53" s="1238"/>
      <c r="AQ53" s="1238"/>
      <c r="AR53" s="1238"/>
      <c r="AS53" s="1238"/>
      <c r="AT53" s="1238"/>
      <c r="AU53" s="1238"/>
      <c r="AV53" s="1238"/>
      <c r="AW53" s="1238"/>
      <c r="AX53" s="1238"/>
      <c r="AY53" s="1238"/>
      <c r="AZ53" s="1238"/>
      <c r="BA53" s="1238"/>
      <c r="BB53" s="1238"/>
      <c r="BC53" s="1238"/>
      <c r="BD53" s="1238"/>
      <c r="BE53" s="1238"/>
      <c r="BF53" s="1238"/>
      <c r="BG53" s="1238"/>
      <c r="BH53" s="1238"/>
      <c r="BI53" s="1238"/>
      <c r="BJ53" s="1238"/>
      <c r="BK53" s="1238"/>
      <c r="BL53" s="1238"/>
      <c r="BM53" s="1238"/>
      <c r="BN53" s="1238"/>
      <c r="BO53" s="1238"/>
    </row>
    <row r="54" spans="1:219" ht="52.9" hidden="1" customHeight="1" x14ac:dyDescent="0.3">
      <c r="A54" s="1232" t="s">
        <v>161</v>
      </c>
      <c r="B54" s="1232"/>
      <c r="C54" s="1232"/>
      <c r="D54" s="1232"/>
      <c r="E54" s="1232"/>
      <c r="F54" s="1232"/>
      <c r="G54" s="1232"/>
      <c r="H54" s="1232"/>
      <c r="I54" s="1232"/>
      <c r="J54" s="1232"/>
      <c r="K54" s="1232"/>
      <c r="L54" s="1232"/>
      <c r="M54" s="1232"/>
      <c r="N54" s="1232"/>
      <c r="O54" s="1232"/>
      <c r="P54" s="1232"/>
      <c r="Q54" s="1232"/>
      <c r="R54" s="1232"/>
      <c r="S54" s="1232"/>
      <c r="T54" s="1232"/>
      <c r="U54" s="1232"/>
      <c r="V54" s="1232"/>
      <c r="W54" s="1232"/>
      <c r="X54" s="1232"/>
      <c r="Y54" s="1232"/>
      <c r="Z54" s="1232"/>
      <c r="AA54" s="1232"/>
      <c r="AB54" s="1232"/>
      <c r="AC54" s="1232"/>
      <c r="AD54" s="1232"/>
      <c r="AE54" s="1232"/>
      <c r="AF54" s="1232"/>
      <c r="AG54" s="1232"/>
      <c r="AH54" s="1232"/>
      <c r="AI54" s="1232"/>
      <c r="AJ54" s="1232"/>
      <c r="AK54" s="1232"/>
      <c r="AL54" s="1232"/>
      <c r="AM54" s="1232"/>
      <c r="AN54" s="1232"/>
      <c r="AO54" s="1232"/>
      <c r="AP54" s="1232"/>
      <c r="AQ54" s="1232"/>
      <c r="AR54" s="1232"/>
      <c r="AS54" s="1232"/>
      <c r="AT54" s="1232"/>
      <c r="AU54" s="1232"/>
      <c r="AV54" s="1232"/>
      <c r="AW54" s="1232"/>
      <c r="AX54" s="1232"/>
      <c r="AY54" s="1232"/>
      <c r="AZ54" s="1232"/>
      <c r="BA54" s="1232"/>
      <c r="BB54" s="1232"/>
      <c r="BC54" s="1232"/>
      <c r="BD54" s="1232"/>
      <c r="BE54" s="1232"/>
      <c r="BF54" s="1232"/>
      <c r="BG54" s="1232"/>
      <c r="BH54" s="1232"/>
      <c r="BI54" s="1232"/>
      <c r="BJ54" s="1232"/>
      <c r="BK54" s="1232"/>
      <c r="BL54" s="1232"/>
      <c r="BM54" s="1232"/>
      <c r="BN54" s="1232"/>
      <c r="BO54" s="1232"/>
    </row>
    <row r="55" spans="1:219" ht="42" hidden="1" customHeight="1" x14ac:dyDescent="0.3">
      <c r="A55" s="1232" t="s">
        <v>160</v>
      </c>
      <c r="B55" s="1232"/>
      <c r="C55" s="1232"/>
      <c r="D55" s="1232"/>
      <c r="E55" s="1232"/>
      <c r="F55" s="1232"/>
      <c r="G55" s="1232"/>
      <c r="H55" s="1232"/>
      <c r="I55" s="1232"/>
      <c r="J55" s="1232"/>
      <c r="K55" s="1232"/>
      <c r="L55" s="1232"/>
      <c r="M55" s="1232"/>
      <c r="N55" s="1232"/>
      <c r="O55" s="1232"/>
      <c r="P55" s="1232"/>
      <c r="Q55" s="1232"/>
      <c r="R55" s="1232"/>
      <c r="S55" s="1232"/>
      <c r="T55" s="1232"/>
      <c r="U55" s="1232"/>
      <c r="V55" s="1232"/>
      <c r="W55" s="1232"/>
      <c r="X55" s="1232"/>
      <c r="Y55" s="1232"/>
      <c r="Z55" s="1232"/>
      <c r="AA55" s="1232"/>
      <c r="AB55" s="1232"/>
      <c r="AC55" s="1232"/>
      <c r="AD55" s="1232"/>
      <c r="AE55" s="1232"/>
      <c r="AF55" s="1232"/>
      <c r="AG55" s="1232"/>
      <c r="AH55" s="1232"/>
      <c r="AI55" s="1232"/>
      <c r="AJ55" s="1232"/>
      <c r="AK55" s="1232"/>
      <c r="AL55" s="1232"/>
      <c r="AM55" s="1232"/>
      <c r="AN55" s="1232"/>
      <c r="AO55" s="1232"/>
      <c r="AP55" s="1232"/>
      <c r="AQ55" s="1232"/>
      <c r="AR55" s="1232"/>
      <c r="AS55" s="1232"/>
      <c r="AT55" s="1232"/>
      <c r="AU55" s="1232"/>
      <c r="AV55" s="1232"/>
      <c r="AW55" s="1232"/>
      <c r="AX55" s="1232"/>
      <c r="AY55" s="1232"/>
      <c r="AZ55" s="1232"/>
      <c r="BA55" s="1232"/>
      <c r="BB55" s="1232"/>
      <c r="BC55" s="1232"/>
      <c r="BD55" s="1232"/>
      <c r="BE55" s="1232"/>
      <c r="BF55" s="1232"/>
      <c r="BG55" s="1232"/>
      <c r="BH55" s="1232"/>
      <c r="BI55" s="1232"/>
      <c r="BJ55" s="1232"/>
      <c r="BK55" s="1232"/>
      <c r="BL55" s="1232"/>
      <c r="BM55" s="1232"/>
      <c r="BN55" s="1232"/>
      <c r="BO55" s="1232"/>
    </row>
    <row r="56" spans="1:219" ht="14.25" customHeight="1" x14ac:dyDescent="0.3">
      <c r="A56" s="1232" t="s">
        <v>159</v>
      </c>
      <c r="B56" s="1232"/>
      <c r="C56" s="1232"/>
      <c r="D56" s="1232"/>
      <c r="E56" s="1232"/>
      <c r="F56" s="1232"/>
      <c r="G56" s="1232"/>
      <c r="H56" s="1232"/>
      <c r="I56" s="1232"/>
      <c r="J56" s="1232"/>
      <c r="K56" s="1232"/>
      <c r="L56" s="1232"/>
      <c r="M56" s="1232"/>
      <c r="N56" s="1232"/>
      <c r="O56" s="1232"/>
      <c r="P56" s="1232"/>
      <c r="Q56" s="1232"/>
      <c r="R56" s="1232"/>
      <c r="S56" s="1232"/>
      <c r="T56" s="1232"/>
      <c r="U56" s="1232"/>
      <c r="V56" s="1232"/>
      <c r="W56" s="1232"/>
      <c r="X56" s="1232"/>
      <c r="Y56" s="1232"/>
      <c r="Z56" s="1232"/>
      <c r="AA56" s="1232"/>
      <c r="AB56" s="1232"/>
      <c r="AC56" s="1232"/>
      <c r="AD56" s="1232"/>
      <c r="AE56" s="1232"/>
      <c r="AF56" s="1232"/>
      <c r="AG56" s="1232"/>
      <c r="AH56" s="1232"/>
      <c r="AI56" s="1232"/>
      <c r="AJ56" s="1232"/>
      <c r="AK56" s="1232"/>
      <c r="AL56" s="1232"/>
      <c r="AM56" s="1232"/>
      <c r="AN56" s="1232"/>
      <c r="AO56" s="1232"/>
      <c r="AP56" s="1232"/>
      <c r="AQ56" s="1232"/>
      <c r="AR56" s="1232"/>
      <c r="AS56" s="1232"/>
      <c r="AT56" s="1232"/>
      <c r="AU56" s="1232"/>
      <c r="AV56" s="1232"/>
      <c r="AW56" s="1232"/>
      <c r="AX56" s="1232"/>
      <c r="AY56" s="1232"/>
      <c r="AZ56" s="1232"/>
      <c r="BA56" s="1232"/>
      <c r="BB56" s="1232"/>
      <c r="BC56" s="1232"/>
      <c r="BD56" s="1232"/>
      <c r="BE56" s="1232"/>
      <c r="BF56" s="1232"/>
      <c r="BG56" s="1232"/>
      <c r="BH56" s="1232"/>
      <c r="BI56" s="1232"/>
      <c r="BJ56" s="1232"/>
      <c r="BK56" s="1232"/>
      <c r="BL56" s="1232"/>
      <c r="BM56" s="1232"/>
      <c r="BN56" s="1232"/>
      <c r="BO56" s="1232"/>
    </row>
    <row r="57" spans="1:219" ht="12.75" customHeight="1" x14ac:dyDescent="0.3">
      <c r="A57" s="1232" t="s">
        <v>158</v>
      </c>
      <c r="B57" s="1232"/>
      <c r="C57" s="1232"/>
      <c r="D57" s="1232"/>
      <c r="E57" s="1232"/>
      <c r="F57" s="1232"/>
      <c r="G57" s="1232"/>
      <c r="H57" s="1232"/>
      <c r="I57" s="1232"/>
      <c r="J57" s="1232"/>
      <c r="K57" s="1232"/>
      <c r="L57" s="1232"/>
      <c r="M57" s="1232"/>
      <c r="N57" s="1232"/>
      <c r="O57" s="1232"/>
      <c r="P57" s="1232"/>
      <c r="Q57" s="1232"/>
      <c r="R57" s="1232"/>
      <c r="S57" s="1232"/>
      <c r="T57" s="1232"/>
      <c r="U57" s="1232"/>
      <c r="V57" s="1232"/>
      <c r="W57" s="1232"/>
      <c r="X57" s="1232"/>
      <c r="Y57" s="1232"/>
      <c r="Z57" s="1232"/>
      <c r="AA57" s="1232"/>
      <c r="AB57" s="1232"/>
      <c r="AC57" s="1232"/>
      <c r="AD57" s="1232"/>
      <c r="AE57" s="1232"/>
      <c r="AF57" s="1232"/>
      <c r="AG57" s="1232"/>
      <c r="AH57" s="1232"/>
      <c r="AI57" s="1232"/>
      <c r="AJ57" s="1232"/>
      <c r="AK57" s="1232"/>
      <c r="AL57" s="1232"/>
      <c r="AM57" s="1232"/>
      <c r="AN57" s="1232"/>
      <c r="AO57" s="1232"/>
      <c r="AP57" s="1232"/>
      <c r="AQ57" s="1232"/>
      <c r="AR57" s="1232"/>
      <c r="AS57" s="1232"/>
      <c r="AT57" s="1232"/>
      <c r="AU57" s="1232"/>
      <c r="AV57" s="1232"/>
      <c r="AW57" s="1232"/>
      <c r="AX57" s="1232"/>
      <c r="AY57" s="1232"/>
      <c r="AZ57" s="1232"/>
      <c r="BA57" s="1232"/>
      <c r="BB57" s="1232"/>
      <c r="BC57" s="1232"/>
      <c r="BD57" s="1232"/>
      <c r="BE57" s="1232"/>
      <c r="BF57" s="1232"/>
      <c r="BG57" s="1232"/>
      <c r="BH57" s="1232"/>
      <c r="BI57" s="1232"/>
      <c r="BJ57" s="1232"/>
      <c r="BK57" s="1232"/>
      <c r="BL57" s="1232"/>
      <c r="BM57" s="1232"/>
      <c r="BN57" s="1232"/>
      <c r="BO57" s="1232"/>
    </row>
    <row r="58" spans="1:219" ht="27.25" customHeight="1" x14ac:dyDescent="0.3">
      <c r="A58" s="1232" t="s">
        <v>157</v>
      </c>
      <c r="B58" s="1232"/>
      <c r="C58" s="1232"/>
      <c r="D58" s="1232"/>
      <c r="E58" s="1232"/>
      <c r="F58" s="1232"/>
      <c r="G58" s="1232"/>
      <c r="H58" s="1232"/>
      <c r="I58" s="1232"/>
      <c r="J58" s="1232"/>
      <c r="K58" s="1232"/>
      <c r="L58" s="1232"/>
      <c r="M58" s="1232"/>
      <c r="N58" s="1232"/>
      <c r="O58" s="1232"/>
      <c r="P58" s="1232"/>
      <c r="Q58" s="1232"/>
      <c r="R58" s="1232"/>
      <c r="S58" s="1232"/>
      <c r="T58" s="1232"/>
      <c r="U58" s="1232"/>
      <c r="V58" s="1232"/>
      <c r="W58" s="1232"/>
      <c r="X58" s="1232"/>
      <c r="Y58" s="1232"/>
      <c r="Z58" s="1232"/>
      <c r="AA58" s="1232"/>
      <c r="AB58" s="1232"/>
      <c r="AC58" s="1232"/>
      <c r="AD58" s="1232"/>
      <c r="AE58" s="1232"/>
      <c r="AF58" s="1232"/>
      <c r="AG58" s="1232"/>
      <c r="AH58" s="1232"/>
      <c r="AI58" s="1232"/>
      <c r="AJ58" s="1232"/>
      <c r="AK58" s="1232"/>
      <c r="AL58" s="1232"/>
      <c r="AM58" s="1232"/>
      <c r="AN58" s="1232"/>
      <c r="AO58" s="1232"/>
      <c r="AP58" s="1232"/>
      <c r="AQ58" s="1232"/>
      <c r="AR58" s="1232"/>
      <c r="AS58" s="1232"/>
      <c r="AT58" s="1232"/>
      <c r="AU58" s="1232"/>
      <c r="AV58" s="1232"/>
      <c r="AW58" s="1232"/>
      <c r="AX58" s="1232"/>
      <c r="AY58" s="1232"/>
      <c r="AZ58" s="1232"/>
      <c r="BA58" s="1232"/>
      <c r="BB58" s="1232"/>
      <c r="BC58" s="1232"/>
      <c r="BD58" s="1232"/>
      <c r="BE58" s="1232"/>
      <c r="BF58" s="1232"/>
      <c r="BG58" s="1232"/>
      <c r="BH58" s="1232"/>
      <c r="BI58" s="1232"/>
      <c r="BJ58" s="1232"/>
      <c r="BK58" s="1232"/>
      <c r="BL58" s="1232"/>
      <c r="BM58" s="1232"/>
      <c r="BN58" s="1232"/>
      <c r="BO58" s="1232"/>
      <c r="BP58" s="85"/>
      <c r="BQ58" s="85"/>
      <c r="BR58" s="85"/>
      <c r="BS58" s="85"/>
      <c r="BT58" s="85"/>
      <c r="BU58" s="85"/>
      <c r="BV58" s="85"/>
      <c r="BW58" s="85"/>
      <c r="BX58" s="85"/>
      <c r="BY58" s="85"/>
      <c r="BZ58" s="85"/>
      <c r="CA58" s="85"/>
      <c r="CB58" s="85"/>
      <c r="CC58" s="85"/>
      <c r="CD58" s="85"/>
      <c r="CE58" s="85"/>
      <c r="CF58" s="85"/>
      <c r="CG58" s="85"/>
      <c r="CH58" s="85"/>
      <c r="CI58" s="85"/>
      <c r="CJ58" s="85"/>
      <c r="CK58" s="85"/>
      <c r="CL58" s="85"/>
      <c r="CM58" s="85"/>
      <c r="CN58" s="85"/>
      <c r="CO58" s="85"/>
      <c r="CP58" s="85"/>
      <c r="CQ58" s="85"/>
      <c r="CR58" s="85"/>
      <c r="CS58" s="85"/>
      <c r="CT58" s="85"/>
      <c r="CU58" s="85"/>
      <c r="CV58" s="85"/>
      <c r="CW58" s="85"/>
      <c r="CX58" s="85"/>
      <c r="CY58" s="85"/>
      <c r="CZ58" s="85"/>
      <c r="DA58" s="85"/>
      <c r="DB58" s="85"/>
      <c r="DC58" s="85"/>
      <c r="DD58" s="85"/>
      <c r="DE58" s="85"/>
      <c r="DF58" s="85"/>
      <c r="DG58" s="85"/>
      <c r="DH58" s="85"/>
      <c r="DI58" s="85"/>
      <c r="DJ58" s="85"/>
      <c r="DK58" s="85"/>
      <c r="DL58" s="85"/>
      <c r="DM58" s="85"/>
      <c r="DN58" s="85"/>
      <c r="DO58" s="85"/>
      <c r="DP58" s="85"/>
      <c r="DQ58" s="85"/>
      <c r="DR58" s="85"/>
      <c r="DS58" s="85"/>
      <c r="DT58" s="85"/>
      <c r="DU58" s="85"/>
      <c r="DV58" s="85"/>
      <c r="DW58" s="85"/>
      <c r="DX58" s="85"/>
      <c r="DY58" s="85"/>
      <c r="DZ58" s="85"/>
      <c r="EA58" s="85"/>
      <c r="EB58" s="85"/>
      <c r="EC58" s="85"/>
      <c r="ED58" s="85"/>
      <c r="EE58" s="85"/>
      <c r="EF58" s="85"/>
      <c r="EG58" s="85"/>
      <c r="EH58" s="85"/>
      <c r="EI58" s="85"/>
      <c r="EJ58" s="85"/>
      <c r="EK58" s="85"/>
      <c r="EL58" s="85"/>
      <c r="EM58" s="85"/>
      <c r="EN58" s="85"/>
      <c r="EO58" s="85"/>
      <c r="EP58" s="85"/>
      <c r="EQ58" s="85"/>
      <c r="ER58" s="85"/>
      <c r="ES58" s="85"/>
      <c r="ET58" s="85"/>
      <c r="EU58" s="85"/>
      <c r="EV58" s="85"/>
      <c r="EW58" s="85"/>
      <c r="EX58" s="85"/>
      <c r="EY58" s="85"/>
      <c r="EZ58" s="85"/>
      <c r="FA58" s="85"/>
      <c r="FB58" s="85"/>
      <c r="FC58" s="85"/>
      <c r="FD58" s="85"/>
      <c r="FE58" s="85"/>
      <c r="FF58" s="85"/>
      <c r="FG58" s="85"/>
      <c r="FH58" s="85"/>
      <c r="FI58" s="85"/>
      <c r="FJ58" s="85"/>
      <c r="FK58" s="85"/>
      <c r="FL58" s="85"/>
      <c r="FM58" s="85"/>
      <c r="FN58" s="85"/>
      <c r="FO58" s="85"/>
      <c r="FP58" s="85"/>
      <c r="FQ58" s="85"/>
      <c r="FR58" s="85"/>
      <c r="FS58" s="85"/>
      <c r="FT58" s="85"/>
      <c r="FU58" s="85"/>
      <c r="FV58" s="85"/>
      <c r="FW58" s="85"/>
      <c r="FX58" s="85"/>
      <c r="FY58" s="85"/>
      <c r="FZ58" s="85"/>
      <c r="GA58" s="85"/>
      <c r="GB58" s="85"/>
      <c r="GC58" s="85"/>
      <c r="GD58" s="85"/>
      <c r="GE58" s="85"/>
      <c r="GF58" s="85"/>
      <c r="GG58" s="85"/>
      <c r="GH58" s="85"/>
      <c r="GI58" s="85"/>
      <c r="GJ58" s="85"/>
      <c r="GK58" s="85"/>
      <c r="GL58" s="85"/>
      <c r="GM58" s="85"/>
      <c r="GN58" s="85"/>
      <c r="GO58" s="85"/>
      <c r="GP58" s="85"/>
      <c r="GQ58" s="85"/>
      <c r="GR58" s="85"/>
      <c r="GS58" s="85"/>
      <c r="GT58" s="85"/>
      <c r="GU58" s="85"/>
      <c r="GV58" s="85"/>
      <c r="GW58" s="85"/>
      <c r="GX58" s="85"/>
      <c r="GY58" s="85"/>
      <c r="GZ58" s="85"/>
      <c r="HA58" s="85"/>
      <c r="HB58" s="85"/>
      <c r="HC58" s="85"/>
      <c r="HD58" s="85"/>
      <c r="HE58" s="85"/>
      <c r="HF58" s="85"/>
      <c r="HG58" s="85"/>
      <c r="HH58" s="85"/>
      <c r="HI58" s="85"/>
      <c r="HJ58" s="85"/>
      <c r="HK58" s="85"/>
    </row>
    <row r="59" spans="1:219" ht="26.5" customHeight="1" x14ac:dyDescent="0.3">
      <c r="A59" s="1233" t="s">
        <v>1012</v>
      </c>
      <c r="B59" s="1233"/>
      <c r="C59" s="1233"/>
      <c r="D59" s="1233"/>
      <c r="E59" s="1233"/>
      <c r="F59" s="1233"/>
      <c r="G59" s="1233"/>
      <c r="H59" s="1233"/>
      <c r="I59" s="1233"/>
      <c r="J59" s="1233"/>
      <c r="K59" s="1233"/>
      <c r="L59" s="1233"/>
      <c r="M59" s="1233"/>
      <c r="N59" s="1233"/>
      <c r="O59" s="1233"/>
      <c r="P59" s="1233"/>
      <c r="Q59" s="1233"/>
      <c r="R59" s="1233"/>
      <c r="S59" s="1233"/>
      <c r="T59" s="1233"/>
      <c r="U59" s="1233"/>
      <c r="V59" s="1233"/>
      <c r="W59" s="1233"/>
      <c r="X59" s="1233"/>
      <c r="Y59" s="1233"/>
      <c r="Z59" s="1233"/>
      <c r="AA59" s="1233"/>
      <c r="AB59" s="1233"/>
      <c r="AC59" s="1233"/>
      <c r="AD59" s="1233"/>
      <c r="AE59" s="1233"/>
      <c r="AF59" s="1233"/>
      <c r="AG59" s="1233"/>
      <c r="AH59" s="1233"/>
      <c r="AI59" s="1233"/>
      <c r="AJ59" s="1233"/>
      <c r="AK59" s="1233"/>
      <c r="AL59" s="1233"/>
      <c r="AM59" s="1233"/>
      <c r="AN59" s="1233"/>
      <c r="AO59" s="1233"/>
      <c r="AP59" s="1233"/>
      <c r="AQ59" s="1233"/>
      <c r="AR59" s="1233"/>
      <c r="AS59" s="1233"/>
      <c r="AT59" s="1233"/>
      <c r="AU59" s="1233"/>
      <c r="AV59" s="1233"/>
      <c r="AW59" s="1233"/>
      <c r="AX59" s="1233"/>
      <c r="AY59" s="1233"/>
      <c r="AZ59" s="1233"/>
      <c r="BA59" s="1233"/>
      <c r="BB59" s="1233"/>
      <c r="BC59" s="1233"/>
      <c r="BD59" s="1233"/>
      <c r="BE59" s="1233"/>
      <c r="BF59" s="1233"/>
      <c r="BG59" s="1233"/>
      <c r="BH59" s="1233"/>
      <c r="BI59" s="1233"/>
      <c r="BJ59" s="1233"/>
      <c r="BK59" s="1233"/>
      <c r="BL59" s="1233"/>
      <c r="BM59" s="1233"/>
      <c r="BN59" s="1233"/>
      <c r="BO59" s="1233"/>
      <c r="BP59" s="85"/>
      <c r="BQ59" s="85"/>
      <c r="BR59" s="85"/>
      <c r="BS59" s="85"/>
      <c r="BT59" s="85"/>
      <c r="BU59" s="85"/>
      <c r="BV59" s="85"/>
      <c r="BW59" s="85"/>
      <c r="BX59" s="85"/>
      <c r="BY59" s="85"/>
      <c r="BZ59" s="85"/>
      <c r="CA59" s="85"/>
      <c r="CB59" s="85"/>
      <c r="CC59" s="85"/>
      <c r="CD59" s="85"/>
      <c r="CE59" s="85"/>
      <c r="CF59" s="85"/>
      <c r="CG59" s="85"/>
      <c r="CH59" s="85"/>
      <c r="CI59" s="85"/>
      <c r="CJ59" s="85"/>
      <c r="CK59" s="85"/>
      <c r="CL59" s="85"/>
      <c r="CM59" s="85"/>
      <c r="CN59" s="85"/>
      <c r="CO59" s="85"/>
      <c r="CP59" s="85"/>
      <c r="CQ59" s="85"/>
      <c r="CR59" s="85"/>
      <c r="CS59" s="85"/>
      <c r="CT59" s="85"/>
      <c r="CU59" s="85"/>
      <c r="CV59" s="85"/>
      <c r="CW59" s="85"/>
      <c r="CX59" s="85"/>
      <c r="CY59" s="85"/>
      <c r="CZ59" s="85"/>
      <c r="DA59" s="85"/>
      <c r="DB59" s="85"/>
      <c r="DC59" s="85"/>
      <c r="DD59" s="85"/>
      <c r="DE59" s="85"/>
      <c r="DF59" s="85"/>
      <c r="DG59" s="85"/>
      <c r="DH59" s="85"/>
      <c r="DI59" s="85"/>
      <c r="DJ59" s="85"/>
      <c r="DK59" s="85"/>
      <c r="DL59" s="85"/>
      <c r="DM59" s="85"/>
      <c r="DN59" s="85"/>
      <c r="DO59" s="85"/>
      <c r="DP59" s="85"/>
      <c r="DQ59" s="85"/>
      <c r="DR59" s="85"/>
      <c r="DS59" s="85"/>
      <c r="DT59" s="85"/>
      <c r="DU59" s="85"/>
      <c r="DV59" s="85"/>
      <c r="DW59" s="85"/>
      <c r="DX59" s="85"/>
      <c r="DY59" s="85"/>
      <c r="DZ59" s="85"/>
      <c r="EA59" s="85"/>
      <c r="EB59" s="85"/>
      <c r="EC59" s="85"/>
      <c r="ED59" s="85"/>
      <c r="EE59" s="85"/>
      <c r="EF59" s="85"/>
      <c r="EG59" s="85"/>
      <c r="EH59" s="85"/>
      <c r="EI59" s="85"/>
      <c r="EJ59" s="85"/>
      <c r="EK59" s="85"/>
      <c r="EL59" s="85"/>
      <c r="EM59" s="85"/>
      <c r="EN59" s="85"/>
      <c r="EO59" s="85"/>
      <c r="EP59" s="85"/>
      <c r="EQ59" s="85"/>
      <c r="ER59" s="85"/>
      <c r="ES59" s="85"/>
      <c r="ET59" s="85"/>
      <c r="EU59" s="85"/>
      <c r="EV59" s="85"/>
      <c r="EW59" s="85"/>
      <c r="EX59" s="85"/>
      <c r="EY59" s="85"/>
      <c r="EZ59" s="85"/>
      <c r="FA59" s="85"/>
      <c r="FB59" s="85"/>
      <c r="FC59" s="85"/>
      <c r="FD59" s="85"/>
      <c r="FE59" s="85"/>
      <c r="FF59" s="85"/>
      <c r="FG59" s="85"/>
      <c r="FH59" s="85"/>
      <c r="FI59" s="85"/>
      <c r="FJ59" s="85"/>
      <c r="FK59" s="85"/>
      <c r="FL59" s="85"/>
      <c r="FM59" s="85"/>
      <c r="FN59" s="85"/>
      <c r="FO59" s="85"/>
      <c r="FP59" s="85"/>
      <c r="FQ59" s="85"/>
      <c r="FR59" s="85"/>
      <c r="FS59" s="85"/>
      <c r="FT59" s="85"/>
      <c r="FU59" s="85"/>
      <c r="FV59" s="85"/>
      <c r="FW59" s="85"/>
      <c r="FX59" s="85"/>
      <c r="FY59" s="85"/>
      <c r="FZ59" s="85"/>
      <c r="GA59" s="85"/>
      <c r="GB59" s="85"/>
      <c r="GC59" s="85"/>
      <c r="GD59" s="85"/>
      <c r="GE59" s="85"/>
      <c r="GF59" s="85"/>
      <c r="GG59" s="85"/>
      <c r="GH59" s="85"/>
      <c r="GI59" s="85"/>
      <c r="GJ59" s="85"/>
      <c r="GK59" s="85"/>
      <c r="GL59" s="85"/>
      <c r="GM59" s="85"/>
      <c r="GN59" s="85"/>
      <c r="GO59" s="85"/>
      <c r="GP59" s="85"/>
      <c r="GQ59" s="85"/>
      <c r="GR59" s="85"/>
      <c r="GS59" s="85"/>
      <c r="GT59" s="85"/>
      <c r="GU59" s="85"/>
      <c r="GV59" s="85"/>
      <c r="GW59" s="85"/>
      <c r="GX59" s="85"/>
      <c r="GY59" s="85"/>
      <c r="GZ59" s="85"/>
      <c r="HA59" s="85"/>
      <c r="HB59" s="85"/>
      <c r="HC59" s="85"/>
      <c r="HD59" s="85"/>
      <c r="HE59" s="85"/>
      <c r="HF59" s="85"/>
      <c r="HG59" s="85"/>
      <c r="HH59" s="85"/>
      <c r="HI59" s="85"/>
      <c r="HJ59" s="85"/>
      <c r="HK59" s="85"/>
    </row>
    <row r="60" spans="1:219" ht="11.5" customHeight="1" x14ac:dyDescent="0.3">
      <c r="A60" s="882"/>
      <c r="B60" s="882"/>
      <c r="C60" s="882"/>
      <c r="D60" s="882"/>
      <c r="E60" s="882"/>
      <c r="F60" s="882"/>
      <c r="G60" s="882"/>
      <c r="H60" s="882"/>
      <c r="I60" s="882"/>
      <c r="J60" s="882"/>
      <c r="K60" s="882"/>
      <c r="L60" s="882"/>
      <c r="M60" s="882"/>
      <c r="N60" s="882"/>
      <c r="O60" s="882"/>
      <c r="P60" s="882"/>
      <c r="Q60" s="882"/>
      <c r="R60" s="882"/>
      <c r="S60" s="882"/>
      <c r="T60" s="882"/>
      <c r="U60" s="882"/>
      <c r="V60" s="882"/>
      <c r="W60" s="882"/>
      <c r="X60" s="882"/>
      <c r="Y60" s="882"/>
      <c r="Z60" s="882"/>
      <c r="AA60" s="882"/>
      <c r="AB60" s="882"/>
      <c r="AC60" s="882"/>
      <c r="AD60" s="882"/>
      <c r="AE60" s="882"/>
      <c r="AF60" s="882"/>
      <c r="AG60" s="882"/>
      <c r="AH60" s="882"/>
      <c r="AI60" s="882"/>
      <c r="AJ60" s="882"/>
      <c r="AK60" s="882"/>
      <c r="AL60" s="882"/>
      <c r="AM60" s="882"/>
      <c r="AN60" s="882"/>
      <c r="AO60" s="882"/>
      <c r="AP60" s="882"/>
      <c r="AQ60" s="882"/>
      <c r="AR60" s="882"/>
      <c r="AS60" s="882"/>
      <c r="AT60" s="882"/>
      <c r="AU60" s="882"/>
      <c r="AV60" s="882"/>
      <c r="AW60" s="882"/>
      <c r="AX60" s="882"/>
      <c r="AY60" s="882"/>
      <c r="AZ60" s="882"/>
      <c r="BA60" s="882"/>
      <c r="BB60" s="882"/>
      <c r="BC60" s="882"/>
      <c r="BD60" s="882"/>
      <c r="BE60" s="882"/>
      <c r="BF60" s="882"/>
      <c r="BG60" s="882"/>
      <c r="BH60" s="882"/>
      <c r="BI60" s="882"/>
      <c r="BJ60" s="882"/>
      <c r="BK60" s="882"/>
      <c r="BL60" s="977"/>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row>
    <row r="61" spans="1:219" hidden="1" x14ac:dyDescent="0.3">
      <c r="A61" s="1" t="s">
        <v>156</v>
      </c>
      <c r="B61" s="86">
        <v>291756</v>
      </c>
      <c r="C61" s="49">
        <v>294904</v>
      </c>
      <c r="D61" s="49">
        <v>297917</v>
      </c>
      <c r="E61" s="49">
        <v>302301</v>
      </c>
      <c r="F61" s="86">
        <v>307957</v>
      </c>
      <c r="G61" s="49">
        <v>314103</v>
      </c>
      <c r="H61" s="49">
        <v>320887</v>
      </c>
      <c r="I61" s="49">
        <v>326361</v>
      </c>
      <c r="J61" s="49">
        <v>330647</v>
      </c>
      <c r="K61" s="49">
        <v>334323</v>
      </c>
      <c r="L61" s="49">
        <v>339236</v>
      </c>
      <c r="M61" s="49">
        <v>343881</v>
      </c>
      <c r="N61" s="49">
        <v>350644</v>
      </c>
      <c r="O61" s="49">
        <v>355835</v>
      </c>
      <c r="P61" s="49">
        <v>361366</v>
      </c>
      <c r="Q61" s="49">
        <v>367053</v>
      </c>
      <c r="R61" s="49">
        <v>381759</v>
      </c>
      <c r="S61" s="49">
        <v>386959</v>
      </c>
      <c r="T61" s="49">
        <v>393996</v>
      </c>
      <c r="U61" s="49">
        <v>400009</v>
      </c>
      <c r="V61" s="49">
        <v>405140</v>
      </c>
      <c r="W61" s="49">
        <v>411190</v>
      </c>
      <c r="X61" s="49">
        <v>415997</v>
      </c>
      <c r="Y61" s="49">
        <v>421642</v>
      </c>
      <c r="Z61" s="49">
        <v>426367</v>
      </c>
      <c r="AA61" s="49">
        <v>432848</v>
      </c>
      <c r="AB61" s="49">
        <v>439468</v>
      </c>
      <c r="AC61" s="49">
        <v>445908</v>
      </c>
      <c r="AD61" s="49">
        <v>453432</v>
      </c>
      <c r="AE61" s="49">
        <v>459102</v>
      </c>
      <c r="AF61" s="49">
        <v>466197</v>
      </c>
      <c r="AG61" s="49">
        <v>472019</v>
      </c>
      <c r="AH61" s="49">
        <v>479186</v>
      </c>
      <c r="AI61" s="49">
        <v>484802</v>
      </c>
      <c r="AJ61" s="49">
        <v>492921</v>
      </c>
      <c r="AK61" s="49">
        <v>499768</v>
      </c>
      <c r="AL61" s="49">
        <v>507575</v>
      </c>
      <c r="AM61" s="49">
        <v>512448</v>
      </c>
      <c r="AN61" s="49">
        <v>515099</v>
      </c>
      <c r="AO61" s="49">
        <v>519360</v>
      </c>
      <c r="AP61" s="49">
        <v>519518</v>
      </c>
      <c r="AQ61" s="49">
        <v>517903</v>
      </c>
      <c r="AR61" s="49">
        <v>477933</v>
      </c>
      <c r="AS61" s="49">
        <v>464363</v>
      </c>
      <c r="AT61" s="49">
        <v>455091</v>
      </c>
      <c r="AU61" s="49">
        <v>446376</v>
      </c>
      <c r="AV61" s="49">
        <v>462289</v>
      </c>
      <c r="AW61" s="49">
        <v>470669</v>
      </c>
      <c r="AX61" s="49">
        <v>484548</v>
      </c>
      <c r="AY61" s="49">
        <v>500012</v>
      </c>
      <c r="AZ61" s="49">
        <v>525348</v>
      </c>
      <c r="BA61" s="49">
        <v>546956</v>
      </c>
      <c r="BB61" s="49">
        <v>571568</v>
      </c>
      <c r="BC61" s="49">
        <v>588080</v>
      </c>
      <c r="BD61" s="49">
        <v>605571</v>
      </c>
      <c r="BE61" s="49">
        <v>619981</v>
      </c>
      <c r="BF61" s="49">
        <v>637010</v>
      </c>
      <c r="BG61" s="49">
        <v>650639</v>
      </c>
      <c r="BH61" s="49">
        <v>664733</v>
      </c>
      <c r="BI61" s="49">
        <v>679713</v>
      </c>
      <c r="BJ61" s="49">
        <v>693345</v>
      </c>
      <c r="BK61" s="49">
        <v>704846</v>
      </c>
      <c r="BL61" s="49">
        <v>717049</v>
      </c>
      <c r="BM61" s="49">
        <v>728736</v>
      </c>
      <c r="BN61" s="49">
        <v>743210</v>
      </c>
      <c r="BO61" s="49">
        <v>754930</v>
      </c>
    </row>
    <row r="62" spans="1:219" hidden="1" x14ac:dyDescent="0.3">
      <c r="A62" s="1" t="s">
        <v>155</v>
      </c>
      <c r="B62" s="86">
        <v>139101</v>
      </c>
      <c r="C62" s="86">
        <v>142599</v>
      </c>
      <c r="D62" s="86">
        <v>147698</v>
      </c>
      <c r="E62" s="86">
        <v>150280</v>
      </c>
      <c r="F62" s="86">
        <v>157791</v>
      </c>
      <c r="G62" s="86">
        <v>163821</v>
      </c>
      <c r="H62" s="86">
        <v>166060</v>
      </c>
      <c r="I62" s="86">
        <v>172493</v>
      </c>
      <c r="J62" s="86">
        <v>173405</v>
      </c>
      <c r="K62" s="86">
        <v>177751</v>
      </c>
      <c r="L62" s="86">
        <v>186403</v>
      </c>
      <c r="M62" s="86">
        <v>185635</v>
      </c>
      <c r="N62" s="86">
        <v>188618</v>
      </c>
      <c r="O62" s="86">
        <v>202276.51674633761</v>
      </c>
      <c r="P62" s="86">
        <v>212797.49309829541</v>
      </c>
      <c r="Q62" s="86">
        <v>227812.74654914771</v>
      </c>
      <c r="R62" s="86">
        <v>245226</v>
      </c>
      <c r="S62" s="49">
        <v>243949</v>
      </c>
      <c r="T62" s="49">
        <v>251755</v>
      </c>
      <c r="U62" s="49">
        <v>260409</v>
      </c>
      <c r="V62" s="49">
        <v>262596</v>
      </c>
      <c r="W62" s="49">
        <v>267942</v>
      </c>
      <c r="X62" s="49">
        <v>271839</v>
      </c>
      <c r="Y62" s="49">
        <v>273539</v>
      </c>
      <c r="Z62" s="49">
        <v>275285</v>
      </c>
      <c r="AA62" s="49">
        <v>276207</v>
      </c>
      <c r="AB62" s="49">
        <v>275373</v>
      </c>
      <c r="AC62" s="49">
        <v>275434</v>
      </c>
      <c r="AD62" s="49">
        <v>276809</v>
      </c>
      <c r="AE62" s="49">
        <v>281728</v>
      </c>
      <c r="AF62" s="49">
        <v>282116</v>
      </c>
      <c r="AG62" s="49">
        <v>284635</v>
      </c>
      <c r="AH62" s="49">
        <v>289161</v>
      </c>
      <c r="AI62" s="49">
        <v>293134</v>
      </c>
      <c r="AJ62" s="49">
        <v>292743</v>
      </c>
      <c r="AK62" s="49">
        <v>293028</v>
      </c>
      <c r="AL62" s="49">
        <v>297274</v>
      </c>
      <c r="AM62" s="49">
        <v>299701</v>
      </c>
      <c r="AN62" s="49">
        <v>305278</v>
      </c>
      <c r="AO62" s="49">
        <v>309936</v>
      </c>
      <c r="AP62" s="49">
        <v>313508</v>
      </c>
      <c r="AQ62" s="49">
        <v>308228</v>
      </c>
      <c r="AR62" s="49">
        <v>284964</v>
      </c>
      <c r="AS62" s="49">
        <v>272643</v>
      </c>
      <c r="AT62" s="49">
        <v>251943</v>
      </c>
      <c r="AU62" s="49">
        <v>239260</v>
      </c>
      <c r="AV62" s="49">
        <v>252625</v>
      </c>
      <c r="AW62" s="49">
        <v>266258</v>
      </c>
      <c r="AX62" s="49">
        <v>294447</v>
      </c>
      <c r="AY62" s="49">
        <v>317274</v>
      </c>
      <c r="AZ62" s="49">
        <v>344933</v>
      </c>
      <c r="BA62" s="49">
        <v>364792</v>
      </c>
      <c r="BB62" s="49">
        <v>383118</v>
      </c>
      <c r="BC62" s="49">
        <v>405784</v>
      </c>
      <c r="BD62" s="49">
        <v>417542</v>
      </c>
      <c r="BE62" s="49">
        <v>429751</v>
      </c>
      <c r="BF62" s="49">
        <v>439799</v>
      </c>
      <c r="BG62" s="49">
        <v>445932</v>
      </c>
      <c r="BH62" s="49">
        <v>458374</v>
      </c>
      <c r="BI62" s="1122">
        <v>463056</v>
      </c>
      <c r="BJ62" s="1122">
        <v>465310</v>
      </c>
      <c r="BK62" s="1122">
        <v>461461</v>
      </c>
      <c r="BL62" s="1122">
        <v>462884</v>
      </c>
      <c r="BM62" s="1122">
        <v>472553</v>
      </c>
      <c r="BN62" s="1122">
        <v>483357</v>
      </c>
      <c r="BO62" s="1122">
        <v>498440</v>
      </c>
    </row>
    <row r="63" spans="1:219" x14ac:dyDescent="0.3">
      <c r="A63" s="85"/>
      <c r="G63" s="84"/>
      <c r="H63" s="84"/>
      <c r="I63" s="84"/>
      <c r="J63" s="84"/>
      <c r="K63" s="84"/>
      <c r="L63" s="84"/>
      <c r="M63" s="84"/>
      <c r="N63" s="84"/>
      <c r="O63" s="84"/>
      <c r="P63" s="84"/>
      <c r="Q63" s="84"/>
      <c r="R63" s="84"/>
      <c r="S63" s="84"/>
      <c r="T63" s="84"/>
      <c r="U63" s="84"/>
      <c r="V63" s="84"/>
      <c r="W63" s="84"/>
      <c r="X63" s="84"/>
      <c r="Y63" s="84"/>
    </row>
    <row r="64" spans="1:219" ht="14" x14ac:dyDescent="0.3">
      <c r="AE64" s="83"/>
      <c r="BB64" s="5"/>
      <c r="BC64" s="5"/>
      <c r="BD64" s="5"/>
      <c r="BE64" s="5"/>
      <c r="BF64" s="5"/>
      <c r="BG64" s="5"/>
    </row>
  </sheetData>
  <mergeCells count="10">
    <mergeCell ref="A58:BO58"/>
    <mergeCell ref="A59:BO59"/>
    <mergeCell ref="A2:BO2"/>
    <mergeCell ref="A51:BO51"/>
    <mergeCell ref="A52:BO52"/>
    <mergeCell ref="A53:BO53"/>
    <mergeCell ref="A56:BO56"/>
    <mergeCell ref="A57:BO57"/>
    <mergeCell ref="A54:BO54"/>
    <mergeCell ref="A55:BO55"/>
  </mergeCells>
  <printOptions horizontalCentered="1"/>
  <pageMargins left="0.37" right="0.23622047244094491" top="0.27559055118110237" bottom="0.35433070866141736" header="0.23622047244094491" footer="0.23622047244094491"/>
  <pageSetup paperSize="9" orientation="portrait" r:id="rId1"/>
  <headerFooter alignWithMargins="0">
    <oddHeader xml:space="preserve">&amp;C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Q46"/>
  <sheetViews>
    <sheetView showGridLines="0" zoomScale="110" zoomScaleNormal="110" workbookViewId="0">
      <pane xSplit="1" ySplit="3" topLeftCell="B19" activePane="bottomRight" state="frozen"/>
      <selection pane="topRight" activeCell="B1" sqref="B1"/>
      <selection pane="bottomLeft" activeCell="A4" sqref="A4"/>
      <selection pane="bottomRight" activeCell="BO32" sqref="BO32"/>
    </sheetView>
  </sheetViews>
  <sheetFormatPr defaultRowHeight="14.5" x14ac:dyDescent="0.35"/>
  <cols>
    <col min="1" max="1" width="53.90625" style="102" customWidth="1"/>
    <col min="2" max="2" width="9.36328125" style="102" hidden="1" customWidth="1"/>
    <col min="3" max="3" width="9.453125" style="102" hidden="1" customWidth="1"/>
    <col min="4" max="4" width="9" style="102" hidden="1" customWidth="1"/>
    <col min="5" max="5" width="9.08984375" style="102" hidden="1" customWidth="1"/>
    <col min="6" max="9" width="9" style="102" hidden="1" customWidth="1"/>
    <col min="10" max="10" width="7.453125" style="102" hidden="1" customWidth="1"/>
    <col min="11" max="11" width="9" style="104" hidden="1" customWidth="1"/>
    <col min="12" max="15" width="9" style="102" hidden="1" customWidth="1"/>
    <col min="16" max="28" width="9.36328125" style="102" hidden="1" customWidth="1"/>
    <col min="29" max="42" width="9.08984375" style="102" hidden="1" customWidth="1"/>
    <col min="43" max="43" width="9.6328125" style="102" hidden="1" customWidth="1"/>
    <col min="44" max="44" width="9.453125" style="102" hidden="1" customWidth="1"/>
    <col min="45" max="45" width="9.6328125" style="102" hidden="1" customWidth="1"/>
    <col min="46" max="46" width="9.08984375" style="102" hidden="1" customWidth="1"/>
    <col min="47" max="48" width="9" style="102" hidden="1" customWidth="1"/>
    <col min="49" max="49" width="9.08984375" style="102" hidden="1" customWidth="1"/>
    <col min="50" max="50" width="8.90625" style="102" hidden="1" customWidth="1"/>
    <col min="51" max="53" width="9.08984375" style="102" hidden="1" customWidth="1"/>
    <col min="54" max="54" width="9.36328125" style="102" hidden="1" customWidth="1"/>
    <col min="55" max="55" width="9.08984375" style="102" hidden="1" customWidth="1"/>
    <col min="56" max="56" width="9.453125" style="102" hidden="1" customWidth="1"/>
    <col min="57" max="57" width="9" style="102" hidden="1" customWidth="1"/>
    <col min="58" max="58" width="8.90625" style="102" hidden="1" customWidth="1"/>
    <col min="59" max="61" width="9.08984375" style="102" hidden="1" customWidth="1"/>
    <col min="62" max="62" width="8.90625" style="102" hidden="1" customWidth="1"/>
    <col min="63" max="63" width="9.90625" style="102" hidden="1" customWidth="1"/>
    <col min="64" max="65" width="10.08984375" style="103" hidden="1" customWidth="1"/>
    <col min="66" max="66" width="10.90625" style="103" hidden="1" customWidth="1"/>
    <col min="67" max="69" width="10.90625" style="103" customWidth="1"/>
    <col min="70" max="70" width="10.36328125" style="102" customWidth="1"/>
    <col min="71" max="257" width="8.7265625" style="102"/>
    <col min="258" max="258" width="39.36328125" style="102" customWidth="1"/>
    <col min="259" max="298" width="0" style="102" hidden="1" customWidth="1"/>
    <col min="299" max="299" width="8.7265625" style="102"/>
    <col min="300" max="300" width="9.6328125" style="102" bestFit="1" customWidth="1"/>
    <col min="301" max="301" width="9.453125" style="102" customWidth="1"/>
    <col min="302" max="302" width="9.6328125" style="102" bestFit="1" customWidth="1"/>
    <col min="303" max="513" width="8.7265625" style="102"/>
    <col min="514" max="514" width="39.36328125" style="102" customWidth="1"/>
    <col min="515" max="554" width="0" style="102" hidden="1" customWidth="1"/>
    <col min="555" max="555" width="8.7265625" style="102"/>
    <col min="556" max="556" width="9.6328125" style="102" bestFit="1" customWidth="1"/>
    <col min="557" max="557" width="9.453125" style="102" customWidth="1"/>
    <col min="558" max="558" width="9.6328125" style="102" bestFit="1" customWidth="1"/>
    <col min="559" max="769" width="8.7265625" style="102"/>
    <col min="770" max="770" width="39.36328125" style="102" customWidth="1"/>
    <col min="771" max="810" width="0" style="102" hidden="1" customWidth="1"/>
    <col min="811" max="811" width="8.7265625" style="102"/>
    <col min="812" max="812" width="9.6328125" style="102" bestFit="1" customWidth="1"/>
    <col min="813" max="813" width="9.453125" style="102" customWidth="1"/>
    <col min="814" max="814" width="9.6328125" style="102" bestFit="1" customWidth="1"/>
    <col min="815" max="1025" width="8.7265625" style="102"/>
    <col min="1026" max="1026" width="39.36328125" style="102" customWidth="1"/>
    <col min="1027" max="1066" width="0" style="102" hidden="1" customWidth="1"/>
    <col min="1067" max="1067" width="8.7265625" style="102"/>
    <col min="1068" max="1068" width="9.6328125" style="102" bestFit="1" customWidth="1"/>
    <col min="1069" max="1069" width="9.453125" style="102" customWidth="1"/>
    <col min="1070" max="1070" width="9.6328125" style="102" bestFit="1" customWidth="1"/>
    <col min="1071" max="1281" width="8.7265625" style="102"/>
    <col min="1282" max="1282" width="39.36328125" style="102" customWidth="1"/>
    <col min="1283" max="1322" width="0" style="102" hidden="1" customWidth="1"/>
    <col min="1323" max="1323" width="8.7265625" style="102"/>
    <col min="1324" max="1324" width="9.6328125" style="102" bestFit="1" customWidth="1"/>
    <col min="1325" max="1325" width="9.453125" style="102" customWidth="1"/>
    <col min="1326" max="1326" width="9.6328125" style="102" bestFit="1" customWidth="1"/>
    <col min="1327" max="1537" width="8.7265625" style="102"/>
    <col min="1538" max="1538" width="39.36328125" style="102" customWidth="1"/>
    <col min="1539" max="1578" width="0" style="102" hidden="1" customWidth="1"/>
    <col min="1579" max="1579" width="8.7265625" style="102"/>
    <col min="1580" max="1580" width="9.6328125" style="102" bestFit="1" customWidth="1"/>
    <col min="1581" max="1581" width="9.453125" style="102" customWidth="1"/>
    <col min="1582" max="1582" width="9.6328125" style="102" bestFit="1" customWidth="1"/>
    <col min="1583" max="1793" width="8.7265625" style="102"/>
    <col min="1794" max="1794" width="39.36328125" style="102" customWidth="1"/>
    <col min="1795" max="1834" width="0" style="102" hidden="1" customWidth="1"/>
    <col min="1835" max="1835" width="8.7265625" style="102"/>
    <col min="1836" max="1836" width="9.6328125" style="102" bestFit="1" customWidth="1"/>
    <col min="1837" max="1837" width="9.453125" style="102" customWidth="1"/>
    <col min="1838" max="1838" width="9.6328125" style="102" bestFit="1" customWidth="1"/>
    <col min="1839" max="2049" width="8.7265625" style="102"/>
    <col min="2050" max="2050" width="39.36328125" style="102" customWidth="1"/>
    <col min="2051" max="2090" width="0" style="102" hidden="1" customWidth="1"/>
    <col min="2091" max="2091" width="8.7265625" style="102"/>
    <col min="2092" max="2092" width="9.6328125" style="102" bestFit="1" customWidth="1"/>
    <col min="2093" max="2093" width="9.453125" style="102" customWidth="1"/>
    <col min="2094" max="2094" width="9.6328125" style="102" bestFit="1" customWidth="1"/>
    <col min="2095" max="2305" width="8.7265625" style="102"/>
    <col min="2306" max="2306" width="39.36328125" style="102" customWidth="1"/>
    <col min="2307" max="2346" width="0" style="102" hidden="1" customWidth="1"/>
    <col min="2347" max="2347" width="8.7265625" style="102"/>
    <col min="2348" max="2348" width="9.6328125" style="102" bestFit="1" customWidth="1"/>
    <col min="2349" max="2349" width="9.453125" style="102" customWidth="1"/>
    <col min="2350" max="2350" width="9.6328125" style="102" bestFit="1" customWidth="1"/>
    <col min="2351" max="2561" width="8.7265625" style="102"/>
    <col min="2562" max="2562" width="39.36328125" style="102" customWidth="1"/>
    <col min="2563" max="2602" width="0" style="102" hidden="1" customWidth="1"/>
    <col min="2603" max="2603" width="8.7265625" style="102"/>
    <col min="2604" max="2604" width="9.6328125" style="102" bestFit="1" customWidth="1"/>
    <col min="2605" max="2605" width="9.453125" style="102" customWidth="1"/>
    <col min="2606" max="2606" width="9.6328125" style="102" bestFit="1" customWidth="1"/>
    <col min="2607" max="2817" width="8.7265625" style="102"/>
    <col min="2818" max="2818" width="39.36328125" style="102" customWidth="1"/>
    <col min="2819" max="2858" width="0" style="102" hidden="1" customWidth="1"/>
    <col min="2859" max="2859" width="8.7265625" style="102"/>
    <col min="2860" max="2860" width="9.6328125" style="102" bestFit="1" customWidth="1"/>
    <col min="2861" max="2861" width="9.453125" style="102" customWidth="1"/>
    <col min="2862" max="2862" width="9.6328125" style="102" bestFit="1" customWidth="1"/>
    <col min="2863" max="3073" width="8.7265625" style="102"/>
    <col min="3074" max="3074" width="39.36328125" style="102" customWidth="1"/>
    <col min="3075" max="3114" width="0" style="102" hidden="1" customWidth="1"/>
    <col min="3115" max="3115" width="8.7265625" style="102"/>
    <col min="3116" max="3116" width="9.6328125" style="102" bestFit="1" customWidth="1"/>
    <col min="3117" max="3117" width="9.453125" style="102" customWidth="1"/>
    <col min="3118" max="3118" width="9.6328125" style="102" bestFit="1" customWidth="1"/>
    <col min="3119" max="3329" width="8.7265625" style="102"/>
    <col min="3330" max="3330" width="39.36328125" style="102" customWidth="1"/>
    <col min="3331" max="3370" width="0" style="102" hidden="1" customWidth="1"/>
    <col min="3371" max="3371" width="8.7265625" style="102"/>
    <col min="3372" max="3372" width="9.6328125" style="102" bestFit="1" customWidth="1"/>
    <col min="3373" max="3373" width="9.453125" style="102" customWidth="1"/>
    <col min="3374" max="3374" width="9.6328125" style="102" bestFit="1" customWidth="1"/>
    <col min="3375" max="3585" width="8.7265625" style="102"/>
    <col min="3586" max="3586" width="39.36328125" style="102" customWidth="1"/>
    <col min="3587" max="3626" width="0" style="102" hidden="1" customWidth="1"/>
    <col min="3627" max="3627" width="8.7265625" style="102"/>
    <col min="3628" max="3628" width="9.6328125" style="102" bestFit="1" customWidth="1"/>
    <col min="3629" max="3629" width="9.453125" style="102" customWidth="1"/>
    <col min="3630" max="3630" width="9.6328125" style="102" bestFit="1" customWidth="1"/>
    <col min="3631" max="3841" width="8.7265625" style="102"/>
    <col min="3842" max="3842" width="39.36328125" style="102" customWidth="1"/>
    <col min="3843" max="3882" width="0" style="102" hidden="1" customWidth="1"/>
    <col min="3883" max="3883" width="8.7265625" style="102"/>
    <col min="3884" max="3884" width="9.6328125" style="102" bestFit="1" customWidth="1"/>
    <col min="3885" max="3885" width="9.453125" style="102" customWidth="1"/>
    <col min="3886" max="3886" width="9.6328125" style="102" bestFit="1" customWidth="1"/>
    <col min="3887" max="4097" width="8.7265625" style="102"/>
    <col min="4098" max="4098" width="39.36328125" style="102" customWidth="1"/>
    <col min="4099" max="4138" width="0" style="102" hidden="1" customWidth="1"/>
    <col min="4139" max="4139" width="8.7265625" style="102"/>
    <col min="4140" max="4140" width="9.6328125" style="102" bestFit="1" customWidth="1"/>
    <col min="4141" max="4141" width="9.453125" style="102" customWidth="1"/>
    <col min="4142" max="4142" width="9.6328125" style="102" bestFit="1" customWidth="1"/>
    <col min="4143" max="4353" width="8.7265625" style="102"/>
    <col min="4354" max="4354" width="39.36328125" style="102" customWidth="1"/>
    <col min="4355" max="4394" width="0" style="102" hidden="1" customWidth="1"/>
    <col min="4395" max="4395" width="8.7265625" style="102"/>
    <col min="4396" max="4396" width="9.6328125" style="102" bestFit="1" customWidth="1"/>
    <col min="4397" max="4397" width="9.453125" style="102" customWidth="1"/>
    <col min="4398" max="4398" width="9.6328125" style="102" bestFit="1" customWidth="1"/>
    <col min="4399" max="4609" width="8.7265625" style="102"/>
    <col min="4610" max="4610" width="39.36328125" style="102" customWidth="1"/>
    <col min="4611" max="4650" width="0" style="102" hidden="1" customWidth="1"/>
    <col min="4651" max="4651" width="8.7265625" style="102"/>
    <col min="4652" max="4652" width="9.6328125" style="102" bestFit="1" customWidth="1"/>
    <col min="4653" max="4653" width="9.453125" style="102" customWidth="1"/>
    <col min="4654" max="4654" width="9.6328125" style="102" bestFit="1" customWidth="1"/>
    <col min="4655" max="4865" width="8.7265625" style="102"/>
    <col min="4866" max="4866" width="39.36328125" style="102" customWidth="1"/>
    <col min="4867" max="4906" width="0" style="102" hidden="1" customWidth="1"/>
    <col min="4907" max="4907" width="8.7265625" style="102"/>
    <col min="4908" max="4908" width="9.6328125" style="102" bestFit="1" customWidth="1"/>
    <col min="4909" max="4909" width="9.453125" style="102" customWidth="1"/>
    <col min="4910" max="4910" width="9.6328125" style="102" bestFit="1" customWidth="1"/>
    <col min="4911" max="5121" width="8.7265625" style="102"/>
    <col min="5122" max="5122" width="39.36328125" style="102" customWidth="1"/>
    <col min="5123" max="5162" width="0" style="102" hidden="1" customWidth="1"/>
    <col min="5163" max="5163" width="8.7265625" style="102"/>
    <col min="5164" max="5164" width="9.6328125" style="102" bestFit="1" customWidth="1"/>
    <col min="5165" max="5165" width="9.453125" style="102" customWidth="1"/>
    <col min="5166" max="5166" width="9.6328125" style="102" bestFit="1" customWidth="1"/>
    <col min="5167" max="5377" width="8.7265625" style="102"/>
    <col min="5378" max="5378" width="39.36328125" style="102" customWidth="1"/>
    <col min="5379" max="5418" width="0" style="102" hidden="1" customWidth="1"/>
    <col min="5419" max="5419" width="8.7265625" style="102"/>
    <col min="5420" max="5420" width="9.6328125" style="102" bestFit="1" customWidth="1"/>
    <col min="5421" max="5421" width="9.453125" style="102" customWidth="1"/>
    <col min="5422" max="5422" width="9.6328125" style="102" bestFit="1" customWidth="1"/>
    <col min="5423" max="5633" width="8.7265625" style="102"/>
    <col min="5634" max="5634" width="39.36328125" style="102" customWidth="1"/>
    <col min="5635" max="5674" width="0" style="102" hidden="1" customWidth="1"/>
    <col min="5675" max="5675" width="8.7265625" style="102"/>
    <col min="5676" max="5676" width="9.6328125" style="102" bestFit="1" customWidth="1"/>
    <col min="5677" max="5677" width="9.453125" style="102" customWidth="1"/>
    <col min="5678" max="5678" width="9.6328125" style="102" bestFit="1" customWidth="1"/>
    <col min="5679" max="5889" width="8.7265625" style="102"/>
    <col min="5890" max="5890" width="39.36328125" style="102" customWidth="1"/>
    <col min="5891" max="5930" width="0" style="102" hidden="1" customWidth="1"/>
    <col min="5931" max="5931" width="8.7265625" style="102"/>
    <col min="5932" max="5932" width="9.6328125" style="102" bestFit="1" customWidth="1"/>
    <col min="5933" max="5933" width="9.453125" style="102" customWidth="1"/>
    <col min="5934" max="5934" width="9.6328125" style="102" bestFit="1" customWidth="1"/>
    <col min="5935" max="6145" width="8.7265625" style="102"/>
    <col min="6146" max="6146" width="39.36328125" style="102" customWidth="1"/>
    <col min="6147" max="6186" width="0" style="102" hidden="1" customWidth="1"/>
    <col min="6187" max="6187" width="8.7265625" style="102"/>
    <col min="6188" max="6188" width="9.6328125" style="102" bestFit="1" customWidth="1"/>
    <col min="6189" max="6189" width="9.453125" style="102" customWidth="1"/>
    <col min="6190" max="6190" width="9.6328125" style="102" bestFit="1" customWidth="1"/>
    <col min="6191" max="6401" width="8.7265625" style="102"/>
    <col min="6402" max="6402" width="39.36328125" style="102" customWidth="1"/>
    <col min="6403" max="6442" width="0" style="102" hidden="1" customWidth="1"/>
    <col min="6443" max="6443" width="8.7265625" style="102"/>
    <col min="6444" max="6444" width="9.6328125" style="102" bestFit="1" customWidth="1"/>
    <col min="6445" max="6445" width="9.453125" style="102" customWidth="1"/>
    <col min="6446" max="6446" width="9.6328125" style="102" bestFit="1" customWidth="1"/>
    <col min="6447" max="6657" width="8.7265625" style="102"/>
    <col min="6658" max="6658" width="39.36328125" style="102" customWidth="1"/>
    <col min="6659" max="6698" width="0" style="102" hidden="1" customWidth="1"/>
    <col min="6699" max="6699" width="8.7265625" style="102"/>
    <col min="6700" max="6700" width="9.6328125" style="102" bestFit="1" customWidth="1"/>
    <col min="6701" max="6701" width="9.453125" style="102" customWidth="1"/>
    <col min="6702" max="6702" width="9.6328125" style="102" bestFit="1" customWidth="1"/>
    <col min="6703" max="6913" width="8.7265625" style="102"/>
    <col min="6914" max="6914" width="39.36328125" style="102" customWidth="1"/>
    <col min="6915" max="6954" width="0" style="102" hidden="1" customWidth="1"/>
    <col min="6955" max="6955" width="8.7265625" style="102"/>
    <col min="6956" max="6956" width="9.6328125" style="102" bestFit="1" customWidth="1"/>
    <col min="6957" max="6957" width="9.453125" style="102" customWidth="1"/>
    <col min="6958" max="6958" width="9.6328125" style="102" bestFit="1" customWidth="1"/>
    <col min="6959" max="7169" width="8.7265625" style="102"/>
    <col min="7170" max="7170" width="39.36328125" style="102" customWidth="1"/>
    <col min="7171" max="7210" width="0" style="102" hidden="1" customWidth="1"/>
    <col min="7211" max="7211" width="8.7265625" style="102"/>
    <col min="7212" max="7212" width="9.6328125" style="102" bestFit="1" customWidth="1"/>
    <col min="7213" max="7213" width="9.453125" style="102" customWidth="1"/>
    <col min="7214" max="7214" width="9.6328125" style="102" bestFit="1" customWidth="1"/>
    <col min="7215" max="7425" width="8.7265625" style="102"/>
    <col min="7426" max="7426" width="39.36328125" style="102" customWidth="1"/>
    <col min="7427" max="7466" width="0" style="102" hidden="1" customWidth="1"/>
    <col min="7467" max="7467" width="8.7265625" style="102"/>
    <col min="7468" max="7468" width="9.6328125" style="102" bestFit="1" customWidth="1"/>
    <col min="7469" max="7469" width="9.453125" style="102" customWidth="1"/>
    <col min="7470" max="7470" width="9.6328125" style="102" bestFit="1" customWidth="1"/>
    <col min="7471" max="7681" width="8.7265625" style="102"/>
    <col min="7682" max="7682" width="39.36328125" style="102" customWidth="1"/>
    <col min="7683" max="7722" width="0" style="102" hidden="1" customWidth="1"/>
    <col min="7723" max="7723" width="8.7265625" style="102"/>
    <col min="7724" max="7724" width="9.6328125" style="102" bestFit="1" customWidth="1"/>
    <col min="7725" max="7725" width="9.453125" style="102" customWidth="1"/>
    <col min="7726" max="7726" width="9.6328125" style="102" bestFit="1" customWidth="1"/>
    <col min="7727" max="7937" width="8.7265625" style="102"/>
    <col min="7938" max="7938" width="39.36328125" style="102" customWidth="1"/>
    <col min="7939" max="7978" width="0" style="102" hidden="1" customWidth="1"/>
    <col min="7979" max="7979" width="8.7265625" style="102"/>
    <col min="7980" max="7980" width="9.6328125" style="102" bestFit="1" customWidth="1"/>
    <col min="7981" max="7981" width="9.453125" style="102" customWidth="1"/>
    <col min="7982" max="7982" width="9.6328125" style="102" bestFit="1" customWidth="1"/>
    <col min="7983" max="8193" width="8.7265625" style="102"/>
    <col min="8194" max="8194" width="39.36328125" style="102" customWidth="1"/>
    <col min="8195" max="8234" width="0" style="102" hidden="1" customWidth="1"/>
    <col min="8235" max="8235" width="8.7265625" style="102"/>
    <col min="8236" max="8236" width="9.6328125" style="102" bestFit="1" customWidth="1"/>
    <col min="8237" max="8237" width="9.453125" style="102" customWidth="1"/>
    <col min="8238" max="8238" width="9.6328125" style="102" bestFit="1" customWidth="1"/>
    <col min="8239" max="8449" width="8.7265625" style="102"/>
    <col min="8450" max="8450" width="39.36328125" style="102" customWidth="1"/>
    <col min="8451" max="8490" width="0" style="102" hidden="1" customWidth="1"/>
    <col min="8491" max="8491" width="8.7265625" style="102"/>
    <col min="8492" max="8492" width="9.6328125" style="102" bestFit="1" customWidth="1"/>
    <col min="8493" max="8493" width="9.453125" style="102" customWidth="1"/>
    <col min="8494" max="8494" width="9.6328125" style="102" bestFit="1" customWidth="1"/>
    <col min="8495" max="8705" width="8.7265625" style="102"/>
    <col min="8706" max="8706" width="39.36328125" style="102" customWidth="1"/>
    <col min="8707" max="8746" width="0" style="102" hidden="1" customWidth="1"/>
    <col min="8747" max="8747" width="8.7265625" style="102"/>
    <col min="8748" max="8748" width="9.6328125" style="102" bestFit="1" customWidth="1"/>
    <col min="8749" max="8749" width="9.453125" style="102" customWidth="1"/>
    <col min="8750" max="8750" width="9.6328125" style="102" bestFit="1" customWidth="1"/>
    <col min="8751" max="8961" width="8.7265625" style="102"/>
    <col min="8962" max="8962" width="39.36328125" style="102" customWidth="1"/>
    <col min="8963" max="9002" width="0" style="102" hidden="1" customWidth="1"/>
    <col min="9003" max="9003" width="8.7265625" style="102"/>
    <col min="9004" max="9004" width="9.6328125" style="102" bestFit="1" customWidth="1"/>
    <col min="9005" max="9005" width="9.453125" style="102" customWidth="1"/>
    <col min="9006" max="9006" width="9.6328125" style="102" bestFit="1" customWidth="1"/>
    <col min="9007" max="9217" width="8.7265625" style="102"/>
    <col min="9218" max="9218" width="39.36328125" style="102" customWidth="1"/>
    <col min="9219" max="9258" width="0" style="102" hidden="1" customWidth="1"/>
    <col min="9259" max="9259" width="8.7265625" style="102"/>
    <col min="9260" max="9260" width="9.6328125" style="102" bestFit="1" customWidth="1"/>
    <col min="9261" max="9261" width="9.453125" style="102" customWidth="1"/>
    <col min="9262" max="9262" width="9.6328125" style="102" bestFit="1" customWidth="1"/>
    <col min="9263" max="9473" width="8.7265625" style="102"/>
    <col min="9474" max="9474" width="39.36328125" style="102" customWidth="1"/>
    <col min="9475" max="9514" width="0" style="102" hidden="1" customWidth="1"/>
    <col min="9515" max="9515" width="8.7265625" style="102"/>
    <col min="9516" max="9516" width="9.6328125" style="102" bestFit="1" customWidth="1"/>
    <col min="9517" max="9517" width="9.453125" style="102" customWidth="1"/>
    <col min="9518" max="9518" width="9.6328125" style="102" bestFit="1" customWidth="1"/>
    <col min="9519" max="9729" width="8.7265625" style="102"/>
    <col min="9730" max="9730" width="39.36328125" style="102" customWidth="1"/>
    <col min="9731" max="9770" width="0" style="102" hidden="1" customWidth="1"/>
    <col min="9771" max="9771" width="8.7265625" style="102"/>
    <col min="9772" max="9772" width="9.6328125" style="102" bestFit="1" customWidth="1"/>
    <col min="9773" max="9773" width="9.453125" style="102" customWidth="1"/>
    <col min="9774" max="9774" width="9.6328125" style="102" bestFit="1" customWidth="1"/>
    <col min="9775" max="9985" width="8.7265625" style="102"/>
    <col min="9986" max="9986" width="39.36328125" style="102" customWidth="1"/>
    <col min="9987" max="10026" width="0" style="102" hidden="1" customWidth="1"/>
    <col min="10027" max="10027" width="8.7265625" style="102"/>
    <col min="10028" max="10028" width="9.6328125" style="102" bestFit="1" customWidth="1"/>
    <col min="10029" max="10029" width="9.453125" style="102" customWidth="1"/>
    <col min="10030" max="10030" width="9.6328125" style="102" bestFit="1" customWidth="1"/>
    <col min="10031" max="10241" width="8.7265625" style="102"/>
    <col min="10242" max="10242" width="39.36328125" style="102" customWidth="1"/>
    <col min="10243" max="10282" width="0" style="102" hidden="1" customWidth="1"/>
    <col min="10283" max="10283" width="8.7265625" style="102"/>
    <col min="10284" max="10284" width="9.6328125" style="102" bestFit="1" customWidth="1"/>
    <col min="10285" max="10285" width="9.453125" style="102" customWidth="1"/>
    <col min="10286" max="10286" width="9.6328125" style="102" bestFit="1" customWidth="1"/>
    <col min="10287" max="10497" width="8.7265625" style="102"/>
    <col min="10498" max="10498" width="39.36328125" style="102" customWidth="1"/>
    <col min="10499" max="10538" width="0" style="102" hidden="1" customWidth="1"/>
    <col min="10539" max="10539" width="8.7265625" style="102"/>
    <col min="10540" max="10540" width="9.6328125" style="102" bestFit="1" customWidth="1"/>
    <col min="10541" max="10541" width="9.453125" style="102" customWidth="1"/>
    <col min="10542" max="10542" width="9.6328125" style="102" bestFit="1" customWidth="1"/>
    <col min="10543" max="10753" width="8.7265625" style="102"/>
    <col min="10754" max="10754" width="39.36328125" style="102" customWidth="1"/>
    <col min="10755" max="10794" width="0" style="102" hidden="1" customWidth="1"/>
    <col min="10795" max="10795" width="8.7265625" style="102"/>
    <col min="10796" max="10796" width="9.6328125" style="102" bestFit="1" customWidth="1"/>
    <col min="10797" max="10797" width="9.453125" style="102" customWidth="1"/>
    <col min="10798" max="10798" width="9.6328125" style="102" bestFit="1" customWidth="1"/>
    <col min="10799" max="11009" width="8.7265625" style="102"/>
    <col min="11010" max="11010" width="39.36328125" style="102" customWidth="1"/>
    <col min="11011" max="11050" width="0" style="102" hidden="1" customWidth="1"/>
    <col min="11051" max="11051" width="8.7265625" style="102"/>
    <col min="11052" max="11052" width="9.6328125" style="102" bestFit="1" customWidth="1"/>
    <col min="11053" max="11053" width="9.453125" style="102" customWidth="1"/>
    <col min="11054" max="11054" width="9.6328125" style="102" bestFit="1" customWidth="1"/>
    <col min="11055" max="11265" width="8.7265625" style="102"/>
    <col min="11266" max="11266" width="39.36328125" style="102" customWidth="1"/>
    <col min="11267" max="11306" width="0" style="102" hidden="1" customWidth="1"/>
    <col min="11307" max="11307" width="8.7265625" style="102"/>
    <col min="11308" max="11308" width="9.6328125" style="102" bestFit="1" customWidth="1"/>
    <col min="11309" max="11309" width="9.453125" style="102" customWidth="1"/>
    <col min="11310" max="11310" width="9.6328125" style="102" bestFit="1" customWidth="1"/>
    <col min="11311" max="11521" width="8.7265625" style="102"/>
    <col min="11522" max="11522" width="39.36328125" style="102" customWidth="1"/>
    <col min="11523" max="11562" width="0" style="102" hidden="1" customWidth="1"/>
    <col min="11563" max="11563" width="8.7265625" style="102"/>
    <col min="11564" max="11564" width="9.6328125" style="102" bestFit="1" customWidth="1"/>
    <col min="11565" max="11565" width="9.453125" style="102" customWidth="1"/>
    <col min="11566" max="11566" width="9.6328125" style="102" bestFit="1" customWidth="1"/>
    <col min="11567" max="11777" width="8.7265625" style="102"/>
    <col min="11778" max="11778" width="39.36328125" style="102" customWidth="1"/>
    <col min="11779" max="11818" width="0" style="102" hidden="1" customWidth="1"/>
    <col min="11819" max="11819" width="8.7265625" style="102"/>
    <col min="11820" max="11820" width="9.6328125" style="102" bestFit="1" customWidth="1"/>
    <col min="11821" max="11821" width="9.453125" style="102" customWidth="1"/>
    <col min="11822" max="11822" width="9.6328125" style="102" bestFit="1" customWidth="1"/>
    <col min="11823" max="12033" width="8.7265625" style="102"/>
    <col min="12034" max="12034" width="39.36328125" style="102" customWidth="1"/>
    <col min="12035" max="12074" width="0" style="102" hidden="1" customWidth="1"/>
    <col min="12075" max="12075" width="8.7265625" style="102"/>
    <col min="12076" max="12076" width="9.6328125" style="102" bestFit="1" customWidth="1"/>
    <col min="12077" max="12077" width="9.453125" style="102" customWidth="1"/>
    <col min="12078" max="12078" width="9.6328125" style="102" bestFit="1" customWidth="1"/>
    <col min="12079" max="12289" width="8.7265625" style="102"/>
    <col min="12290" max="12290" width="39.36328125" style="102" customWidth="1"/>
    <col min="12291" max="12330" width="0" style="102" hidden="1" customWidth="1"/>
    <col min="12331" max="12331" width="8.7265625" style="102"/>
    <col min="12332" max="12332" width="9.6328125" style="102" bestFit="1" customWidth="1"/>
    <col min="12333" max="12333" width="9.453125" style="102" customWidth="1"/>
    <col min="12334" max="12334" width="9.6328125" style="102" bestFit="1" customWidth="1"/>
    <col min="12335" max="12545" width="8.7265625" style="102"/>
    <col min="12546" max="12546" width="39.36328125" style="102" customWidth="1"/>
    <col min="12547" max="12586" width="0" style="102" hidden="1" customWidth="1"/>
    <col min="12587" max="12587" width="8.7265625" style="102"/>
    <col min="12588" max="12588" width="9.6328125" style="102" bestFit="1" customWidth="1"/>
    <col min="12589" max="12589" width="9.453125" style="102" customWidth="1"/>
    <col min="12590" max="12590" width="9.6328125" style="102" bestFit="1" customWidth="1"/>
    <col min="12591" max="12801" width="8.7265625" style="102"/>
    <col min="12802" max="12802" width="39.36328125" style="102" customWidth="1"/>
    <col min="12803" max="12842" width="0" style="102" hidden="1" customWidth="1"/>
    <col min="12843" max="12843" width="8.7265625" style="102"/>
    <col min="12844" max="12844" width="9.6328125" style="102" bestFit="1" customWidth="1"/>
    <col min="12845" max="12845" width="9.453125" style="102" customWidth="1"/>
    <col min="12846" max="12846" width="9.6328125" style="102" bestFit="1" customWidth="1"/>
    <col min="12847" max="13057" width="8.7265625" style="102"/>
    <col min="13058" max="13058" width="39.36328125" style="102" customWidth="1"/>
    <col min="13059" max="13098" width="0" style="102" hidden="1" customWidth="1"/>
    <col min="13099" max="13099" width="8.7265625" style="102"/>
    <col min="13100" max="13100" width="9.6328125" style="102" bestFit="1" customWidth="1"/>
    <col min="13101" max="13101" width="9.453125" style="102" customWidth="1"/>
    <col min="13102" max="13102" width="9.6328125" style="102" bestFit="1" customWidth="1"/>
    <col min="13103" max="13313" width="8.7265625" style="102"/>
    <col min="13314" max="13314" width="39.36328125" style="102" customWidth="1"/>
    <col min="13315" max="13354" width="0" style="102" hidden="1" customWidth="1"/>
    <col min="13355" max="13355" width="8.7265625" style="102"/>
    <col min="13356" max="13356" width="9.6328125" style="102" bestFit="1" customWidth="1"/>
    <col min="13357" max="13357" width="9.453125" style="102" customWidth="1"/>
    <col min="13358" max="13358" width="9.6328125" style="102" bestFit="1" customWidth="1"/>
    <col min="13359" max="13569" width="8.7265625" style="102"/>
    <col min="13570" max="13570" width="39.36328125" style="102" customWidth="1"/>
    <col min="13571" max="13610" width="0" style="102" hidden="1" customWidth="1"/>
    <col min="13611" max="13611" width="8.7265625" style="102"/>
    <col min="13612" max="13612" width="9.6328125" style="102" bestFit="1" customWidth="1"/>
    <col min="13613" max="13613" width="9.453125" style="102" customWidth="1"/>
    <col min="13614" max="13614" width="9.6328125" style="102" bestFit="1" customWidth="1"/>
    <col min="13615" max="13825" width="8.7265625" style="102"/>
    <col min="13826" max="13826" width="39.36328125" style="102" customWidth="1"/>
    <col min="13827" max="13866" width="0" style="102" hidden="1" customWidth="1"/>
    <col min="13867" max="13867" width="8.7265625" style="102"/>
    <col min="13868" max="13868" width="9.6328125" style="102" bestFit="1" customWidth="1"/>
    <col min="13869" max="13869" width="9.453125" style="102" customWidth="1"/>
    <col min="13870" max="13870" width="9.6328125" style="102" bestFit="1" customWidth="1"/>
    <col min="13871" max="14081" width="8.7265625" style="102"/>
    <col min="14082" max="14082" width="39.36328125" style="102" customWidth="1"/>
    <col min="14083" max="14122" width="0" style="102" hidden="1" customWidth="1"/>
    <col min="14123" max="14123" width="8.7265625" style="102"/>
    <col min="14124" max="14124" width="9.6328125" style="102" bestFit="1" customWidth="1"/>
    <col min="14125" max="14125" width="9.453125" style="102" customWidth="1"/>
    <col min="14126" max="14126" width="9.6328125" style="102" bestFit="1" customWidth="1"/>
    <col min="14127" max="14337" width="8.7265625" style="102"/>
    <col min="14338" max="14338" width="39.36328125" style="102" customWidth="1"/>
    <col min="14339" max="14378" width="0" style="102" hidden="1" customWidth="1"/>
    <col min="14379" max="14379" width="8.7265625" style="102"/>
    <col min="14380" max="14380" width="9.6328125" style="102" bestFit="1" customWidth="1"/>
    <col min="14381" max="14381" width="9.453125" style="102" customWidth="1"/>
    <col min="14382" max="14382" width="9.6328125" style="102" bestFit="1" customWidth="1"/>
    <col min="14383" max="14593" width="8.7265625" style="102"/>
    <col min="14594" max="14594" width="39.36328125" style="102" customWidth="1"/>
    <col min="14595" max="14634" width="0" style="102" hidden="1" customWidth="1"/>
    <col min="14635" max="14635" width="8.7265625" style="102"/>
    <col min="14636" max="14636" width="9.6328125" style="102" bestFit="1" customWidth="1"/>
    <col min="14637" max="14637" width="9.453125" style="102" customWidth="1"/>
    <col min="14638" max="14638" width="9.6328125" style="102" bestFit="1" customWidth="1"/>
    <col min="14639" max="14849" width="8.7265625" style="102"/>
    <col min="14850" max="14850" width="39.36328125" style="102" customWidth="1"/>
    <col min="14851" max="14890" width="0" style="102" hidden="1" customWidth="1"/>
    <col min="14891" max="14891" width="8.7265625" style="102"/>
    <col min="14892" max="14892" width="9.6328125" style="102" bestFit="1" customWidth="1"/>
    <col min="14893" max="14893" width="9.453125" style="102" customWidth="1"/>
    <col min="14894" max="14894" width="9.6328125" style="102" bestFit="1" customWidth="1"/>
    <col min="14895" max="15105" width="8.7265625" style="102"/>
    <col min="15106" max="15106" width="39.36328125" style="102" customWidth="1"/>
    <col min="15107" max="15146" width="0" style="102" hidden="1" customWidth="1"/>
    <col min="15147" max="15147" width="8.7265625" style="102"/>
    <col min="15148" max="15148" width="9.6328125" style="102" bestFit="1" customWidth="1"/>
    <col min="15149" max="15149" width="9.453125" style="102" customWidth="1"/>
    <col min="15150" max="15150" width="9.6328125" style="102" bestFit="1" customWidth="1"/>
    <col min="15151" max="15361" width="8.7265625" style="102"/>
    <col min="15362" max="15362" width="39.36328125" style="102" customWidth="1"/>
    <col min="15363" max="15402" width="0" style="102" hidden="1" customWidth="1"/>
    <col min="15403" max="15403" width="8.7265625" style="102"/>
    <col min="15404" max="15404" width="9.6328125" style="102" bestFit="1" customWidth="1"/>
    <col min="15405" max="15405" width="9.453125" style="102" customWidth="1"/>
    <col min="15406" max="15406" width="9.6328125" style="102" bestFit="1" customWidth="1"/>
    <col min="15407" max="15617" width="8.7265625" style="102"/>
    <col min="15618" max="15618" width="39.36328125" style="102" customWidth="1"/>
    <col min="15619" max="15658" width="0" style="102" hidden="1" customWidth="1"/>
    <col min="15659" max="15659" width="8.7265625" style="102"/>
    <col min="15660" max="15660" width="9.6328125" style="102" bestFit="1" customWidth="1"/>
    <col min="15661" max="15661" width="9.453125" style="102" customWidth="1"/>
    <col min="15662" max="15662" width="9.6328125" style="102" bestFit="1" customWidth="1"/>
    <col min="15663" max="15873" width="8.7265625" style="102"/>
    <col min="15874" max="15874" width="39.36328125" style="102" customWidth="1"/>
    <col min="15875" max="15914" width="0" style="102" hidden="1" customWidth="1"/>
    <col min="15915" max="15915" width="8.7265625" style="102"/>
    <col min="15916" max="15916" width="9.6328125" style="102" bestFit="1" customWidth="1"/>
    <col min="15917" max="15917" width="9.453125" style="102" customWidth="1"/>
    <col min="15918" max="15918" width="9.6328125" style="102" bestFit="1" customWidth="1"/>
    <col min="15919" max="16129" width="8.7265625" style="102"/>
    <col min="16130" max="16130" width="39.36328125" style="102" customWidth="1"/>
    <col min="16131" max="16170" width="0" style="102" hidden="1" customWidth="1"/>
    <col min="16171" max="16171" width="8.7265625" style="102"/>
    <col min="16172" max="16172" width="9.6328125" style="102" bestFit="1" customWidth="1"/>
    <col min="16173" max="16173" width="9.453125" style="102" customWidth="1"/>
    <col min="16174" max="16174" width="9.6328125" style="102" bestFit="1" customWidth="1"/>
    <col min="16175" max="16384" width="8.7265625" style="102"/>
  </cols>
  <sheetData>
    <row r="1" spans="1:69" ht="17.5" x14ac:dyDescent="0.3">
      <c r="A1" s="1239" t="s">
        <v>290</v>
      </c>
      <c r="B1" s="1239"/>
      <c r="C1" s="1239"/>
      <c r="D1" s="1239"/>
      <c r="E1" s="1239"/>
      <c r="F1" s="1239"/>
      <c r="G1" s="1239"/>
      <c r="H1" s="1239"/>
      <c r="I1" s="1239"/>
      <c r="J1" s="1239"/>
      <c r="K1" s="1239"/>
      <c r="L1" s="1239"/>
      <c r="M1" s="1239"/>
      <c r="N1" s="1239"/>
      <c r="O1" s="1239"/>
      <c r="P1" s="1239"/>
      <c r="Q1" s="1239"/>
      <c r="R1" s="1239"/>
      <c r="S1" s="1239"/>
      <c r="T1" s="1239"/>
      <c r="U1" s="1239"/>
      <c r="V1" s="1239"/>
      <c r="W1" s="1239"/>
      <c r="X1" s="1239"/>
      <c r="Y1" s="1239"/>
      <c r="Z1" s="1239"/>
      <c r="AA1" s="1239"/>
      <c r="AB1" s="1239"/>
      <c r="AC1" s="1239"/>
      <c r="AD1" s="1239"/>
      <c r="AE1" s="1239"/>
      <c r="AF1" s="1239"/>
      <c r="AG1" s="1239"/>
      <c r="AH1" s="1239"/>
      <c r="AI1" s="1239"/>
      <c r="AJ1" s="1239"/>
      <c r="AK1" s="1239"/>
      <c r="AL1" s="1239"/>
      <c r="AM1" s="1239"/>
      <c r="AN1" s="1239"/>
      <c r="AO1" s="1239"/>
      <c r="AP1" s="1239"/>
      <c r="AQ1" s="1239"/>
      <c r="AR1" s="1239"/>
      <c r="AS1" s="1239"/>
      <c r="AT1" s="1239"/>
      <c r="AU1" s="1239"/>
      <c r="AV1" s="1239"/>
      <c r="AW1" s="1239"/>
      <c r="AX1" s="1239"/>
      <c r="AY1" s="1239"/>
      <c r="AZ1" s="1239"/>
      <c r="BA1" s="1239"/>
      <c r="BB1" s="1239"/>
      <c r="BC1" s="1239"/>
      <c r="BD1" s="1239"/>
      <c r="BE1" s="1239"/>
      <c r="BF1" s="1239"/>
      <c r="BG1" s="1239"/>
      <c r="BH1" s="1239"/>
      <c r="BI1" s="1239"/>
      <c r="BJ1" s="1239"/>
      <c r="BK1" s="1239"/>
      <c r="BL1" s="1239"/>
      <c r="BM1" s="1239"/>
      <c r="BN1" s="1239"/>
      <c r="BO1" s="1239"/>
      <c r="BP1" s="1239"/>
      <c r="BQ1" s="1239"/>
    </row>
    <row r="2" spans="1:69" ht="14" x14ac:dyDescent="0.3">
      <c r="A2" s="154"/>
      <c r="B2" s="110"/>
      <c r="C2" s="110"/>
      <c r="D2" s="110"/>
      <c r="E2" s="110"/>
      <c r="F2" s="110"/>
      <c r="G2" s="110"/>
      <c r="H2" s="110"/>
      <c r="I2" s="153"/>
      <c r="J2" s="110"/>
      <c r="K2" s="110"/>
      <c r="BL2" s="152"/>
      <c r="BM2" s="152"/>
      <c r="BN2" s="152"/>
      <c r="BO2" s="152"/>
      <c r="BP2" s="972"/>
      <c r="BQ2" s="972" t="s">
        <v>144</v>
      </c>
    </row>
    <row r="3" spans="1:69" s="148" customFormat="1" ht="24.5" customHeight="1" x14ac:dyDescent="0.35">
      <c r="A3" s="151"/>
      <c r="B3" s="149" t="s">
        <v>289</v>
      </c>
      <c r="C3" s="149" t="s">
        <v>288</v>
      </c>
      <c r="D3" s="149" t="s">
        <v>287</v>
      </c>
      <c r="E3" s="149" t="s">
        <v>286</v>
      </c>
      <c r="F3" s="149" t="s">
        <v>285</v>
      </c>
      <c r="G3" s="149" t="s">
        <v>284</v>
      </c>
      <c r="H3" s="149" t="s">
        <v>283</v>
      </c>
      <c r="I3" s="149" t="s">
        <v>282</v>
      </c>
      <c r="J3" s="150" t="s">
        <v>281</v>
      </c>
      <c r="K3" s="149" t="s">
        <v>280</v>
      </c>
      <c r="L3" s="149" t="s">
        <v>279</v>
      </c>
      <c r="M3" s="149" t="s">
        <v>278</v>
      </c>
      <c r="N3" s="149" t="s">
        <v>277</v>
      </c>
      <c r="O3" s="149" t="s">
        <v>276</v>
      </c>
      <c r="P3" s="149" t="s">
        <v>275</v>
      </c>
      <c r="Q3" s="149" t="s">
        <v>274</v>
      </c>
      <c r="R3" s="149" t="s">
        <v>273</v>
      </c>
      <c r="S3" s="149" t="s">
        <v>272</v>
      </c>
      <c r="T3" s="149" t="s">
        <v>271</v>
      </c>
      <c r="U3" s="149" t="s">
        <v>270</v>
      </c>
      <c r="V3" s="149" t="s">
        <v>269</v>
      </c>
      <c r="W3" s="149" t="s">
        <v>268</v>
      </c>
      <c r="X3" s="149" t="s">
        <v>267</v>
      </c>
      <c r="Y3" s="149" t="s">
        <v>266</v>
      </c>
      <c r="Z3" s="149" t="s">
        <v>265</v>
      </c>
      <c r="AA3" s="149" t="s">
        <v>264</v>
      </c>
      <c r="AB3" s="149" t="s">
        <v>263</v>
      </c>
      <c r="AC3" s="149" t="s">
        <v>262</v>
      </c>
      <c r="AD3" s="149" t="s">
        <v>261</v>
      </c>
      <c r="AE3" s="149" t="s">
        <v>260</v>
      </c>
      <c r="AF3" s="149" t="s">
        <v>259</v>
      </c>
      <c r="AG3" s="149" t="s">
        <v>258</v>
      </c>
      <c r="AH3" s="149" t="s">
        <v>257</v>
      </c>
      <c r="AI3" s="149" t="s">
        <v>256</v>
      </c>
      <c r="AJ3" s="149" t="s">
        <v>255</v>
      </c>
      <c r="AK3" s="149" t="s">
        <v>254</v>
      </c>
      <c r="AL3" s="149" t="s">
        <v>253</v>
      </c>
      <c r="AM3" s="149" t="s">
        <v>252</v>
      </c>
      <c r="AN3" s="149" t="s">
        <v>251</v>
      </c>
      <c r="AO3" s="149" t="s">
        <v>250</v>
      </c>
      <c r="AP3" s="149" t="s">
        <v>249</v>
      </c>
      <c r="AQ3" s="149" t="s">
        <v>248</v>
      </c>
      <c r="AR3" s="149" t="s">
        <v>247</v>
      </c>
      <c r="AS3" s="149" t="s">
        <v>246</v>
      </c>
      <c r="AT3" s="149" t="s">
        <v>245</v>
      </c>
      <c r="AU3" s="149" t="s">
        <v>244</v>
      </c>
      <c r="AV3" s="149" t="s">
        <v>243</v>
      </c>
      <c r="AW3" s="149" t="s">
        <v>242</v>
      </c>
      <c r="AX3" s="149" t="s">
        <v>241</v>
      </c>
      <c r="AY3" s="149" t="s">
        <v>240</v>
      </c>
      <c r="AZ3" s="149" t="s">
        <v>239</v>
      </c>
      <c r="BA3" s="149" t="s">
        <v>238</v>
      </c>
      <c r="BB3" s="149" t="s">
        <v>237</v>
      </c>
      <c r="BC3" s="149" t="s">
        <v>236</v>
      </c>
      <c r="BD3" s="149" t="s">
        <v>235</v>
      </c>
      <c r="BE3" s="149" t="s">
        <v>234</v>
      </c>
      <c r="BF3" s="149" t="s">
        <v>233</v>
      </c>
      <c r="BG3" s="149" t="s">
        <v>232</v>
      </c>
      <c r="BH3" s="149" t="s">
        <v>231</v>
      </c>
      <c r="BI3" s="149" t="s">
        <v>230</v>
      </c>
      <c r="BJ3" s="149" t="s">
        <v>229</v>
      </c>
      <c r="BK3" s="149" t="s">
        <v>228</v>
      </c>
      <c r="BL3" s="149" t="s">
        <v>227</v>
      </c>
      <c r="BM3" s="149" t="s">
        <v>226</v>
      </c>
      <c r="BN3" s="149" t="s">
        <v>225</v>
      </c>
      <c r="BO3" s="149" t="s">
        <v>224</v>
      </c>
      <c r="BP3" s="149" t="s">
        <v>799</v>
      </c>
      <c r="BQ3" s="149" t="s">
        <v>895</v>
      </c>
    </row>
    <row r="4" spans="1:69" ht="14" x14ac:dyDescent="0.3">
      <c r="A4" s="122"/>
      <c r="B4" s="147"/>
      <c r="C4" s="146"/>
      <c r="D4" s="146"/>
      <c r="E4" s="146"/>
      <c r="F4" s="146"/>
      <c r="G4" s="146"/>
      <c r="H4" s="146"/>
      <c r="I4" s="146"/>
      <c r="J4" s="146"/>
      <c r="K4" s="146"/>
      <c r="L4" s="146"/>
      <c r="M4" s="146"/>
      <c r="N4" s="146"/>
      <c r="O4" s="146"/>
      <c r="P4" s="146"/>
      <c r="Q4" s="145"/>
      <c r="R4" s="145"/>
      <c r="S4" s="145"/>
      <c r="T4" s="145"/>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3"/>
      <c r="BC4" s="143"/>
      <c r="BD4" s="143"/>
      <c r="BE4" s="143"/>
      <c r="BF4" s="143"/>
      <c r="BG4" s="143"/>
      <c r="BH4" s="143"/>
      <c r="BI4" s="143"/>
      <c r="BJ4" s="143"/>
      <c r="BK4" s="142"/>
      <c r="BL4" s="142"/>
      <c r="BM4" s="142"/>
      <c r="BN4" s="142"/>
      <c r="BO4" s="142"/>
      <c r="BP4" s="1136"/>
      <c r="BQ4" s="1136" t="s">
        <v>53</v>
      </c>
    </row>
    <row r="5" spans="1:69" ht="14" x14ac:dyDescent="0.3">
      <c r="A5" s="127" t="s">
        <v>223</v>
      </c>
      <c r="B5" s="126">
        <v>937</v>
      </c>
      <c r="C5" s="125">
        <v>1035</v>
      </c>
      <c r="D5" s="125">
        <v>1100.7</v>
      </c>
      <c r="E5" s="125">
        <v>1157.5</v>
      </c>
      <c r="F5" s="125">
        <v>1600.9</v>
      </c>
      <c r="G5" s="125">
        <v>1246.8</v>
      </c>
      <c r="H5" s="125">
        <v>1249.5</v>
      </c>
      <c r="I5" s="125">
        <v>1364.1</v>
      </c>
      <c r="J5" s="125">
        <v>702.3</v>
      </c>
      <c r="K5" s="125">
        <v>1187.9000000000001</v>
      </c>
      <c r="L5" s="125">
        <v>1193</v>
      </c>
      <c r="M5" s="125">
        <v>1280</v>
      </c>
      <c r="N5" s="125">
        <v>1290</v>
      </c>
      <c r="O5" s="125">
        <v>1463</v>
      </c>
      <c r="P5" s="125">
        <v>1419.5</v>
      </c>
      <c r="Q5" s="125">
        <v>1562</v>
      </c>
      <c r="R5" s="125">
        <v>1498</v>
      </c>
      <c r="S5" s="125">
        <v>1637</v>
      </c>
      <c r="T5" s="125">
        <v>1625</v>
      </c>
      <c r="U5" s="125">
        <v>1992</v>
      </c>
      <c r="V5" s="125">
        <v>2163</v>
      </c>
      <c r="W5" s="125">
        <v>2452</v>
      </c>
      <c r="X5" s="125">
        <v>3498</v>
      </c>
      <c r="Y5" s="125">
        <v>3611</v>
      </c>
      <c r="Z5" s="125">
        <v>3739</v>
      </c>
      <c r="AA5" s="125">
        <v>3898</v>
      </c>
      <c r="AB5" s="125">
        <v>3065</v>
      </c>
      <c r="AC5" s="125">
        <v>3271</v>
      </c>
      <c r="AD5" s="125">
        <v>3275</v>
      </c>
      <c r="AE5" s="125">
        <v>3306</v>
      </c>
      <c r="AF5" s="125">
        <v>3299</v>
      </c>
      <c r="AG5" s="125">
        <v>7427</v>
      </c>
      <c r="AH5" s="125">
        <v>7426</v>
      </c>
      <c r="AI5" s="125">
        <v>7685</v>
      </c>
      <c r="AJ5" s="125">
        <v>7618.4</v>
      </c>
      <c r="AK5" s="125">
        <v>3724</v>
      </c>
      <c r="AL5" s="125">
        <v>3703</v>
      </c>
      <c r="AM5" s="125">
        <v>4199</v>
      </c>
      <c r="AN5" s="125">
        <v>4236</v>
      </c>
      <c r="AO5" s="125">
        <v>4699</v>
      </c>
      <c r="AP5" s="125">
        <v>4759</v>
      </c>
      <c r="AQ5" s="125">
        <v>4789</v>
      </c>
      <c r="AR5" s="125">
        <v>4926</v>
      </c>
      <c r="AS5" s="125">
        <v>11488</v>
      </c>
      <c r="AT5" s="125">
        <v>11618</v>
      </c>
      <c r="AU5" s="125">
        <v>11497</v>
      </c>
      <c r="AV5" s="125">
        <v>11815</v>
      </c>
      <c r="AW5" s="125">
        <v>5441</v>
      </c>
      <c r="AX5" s="125">
        <v>5500</v>
      </c>
      <c r="AY5" s="125">
        <v>5471</v>
      </c>
      <c r="AZ5" s="125">
        <v>5289</v>
      </c>
      <c r="BA5" s="125">
        <v>4766</v>
      </c>
      <c r="BB5" s="124">
        <v>4728</v>
      </c>
      <c r="BC5" s="124">
        <v>4726</v>
      </c>
      <c r="BD5" s="124">
        <v>4817</v>
      </c>
      <c r="BE5" s="124">
        <v>4736</v>
      </c>
      <c r="BF5" s="124">
        <v>16520</v>
      </c>
      <c r="BG5" s="124">
        <v>16296</v>
      </c>
      <c r="BH5" s="124">
        <v>16678</v>
      </c>
      <c r="BI5" s="124">
        <v>16363</v>
      </c>
      <c r="BJ5" s="124">
        <v>5047</v>
      </c>
      <c r="BK5" s="124">
        <v>4675</v>
      </c>
      <c r="BL5" s="124">
        <v>4827</v>
      </c>
      <c r="BM5" s="124">
        <v>5449</v>
      </c>
      <c r="BN5" s="124">
        <v>5462.63</v>
      </c>
      <c r="BO5" s="124">
        <v>6068</v>
      </c>
      <c r="BP5" s="124">
        <v>6229</v>
      </c>
      <c r="BQ5" s="124">
        <v>6271.3099999999995</v>
      </c>
    </row>
    <row r="6" spans="1:69" ht="6.75" customHeight="1" x14ac:dyDescent="0.35">
      <c r="A6" s="122"/>
      <c r="B6" s="131"/>
      <c r="C6" s="122"/>
      <c r="D6" s="122"/>
      <c r="E6" s="122"/>
      <c r="F6" s="122"/>
      <c r="G6" s="122"/>
      <c r="H6" s="122"/>
      <c r="I6" s="122"/>
      <c r="J6" s="129"/>
      <c r="K6" s="129"/>
      <c r="L6" s="128"/>
      <c r="M6" s="129"/>
      <c r="N6" s="129"/>
      <c r="O6" s="129"/>
      <c r="P6" s="129"/>
      <c r="Q6" s="129"/>
      <c r="R6" s="129"/>
      <c r="S6" s="129"/>
      <c r="T6" s="129"/>
      <c r="U6" s="129"/>
      <c r="V6" s="129"/>
      <c r="W6" s="129"/>
      <c r="X6" s="129"/>
      <c r="Y6" s="103"/>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row>
    <row r="7" spans="1:69" ht="15.5" x14ac:dyDescent="0.3">
      <c r="A7" s="122" t="s">
        <v>997</v>
      </c>
      <c r="B7" s="135">
        <v>708</v>
      </c>
      <c r="C7" s="122">
        <v>836</v>
      </c>
      <c r="D7" s="140">
        <v>882.4</v>
      </c>
      <c r="E7" s="140">
        <v>929.9</v>
      </c>
      <c r="F7" s="130">
        <v>1319.5</v>
      </c>
      <c r="G7" s="130">
        <v>970.2</v>
      </c>
      <c r="H7" s="130">
        <v>920.2</v>
      </c>
      <c r="I7" s="130">
        <v>976.7</v>
      </c>
      <c r="J7" s="130">
        <v>500.4</v>
      </c>
      <c r="K7" s="130">
        <v>834.5</v>
      </c>
      <c r="L7" s="130">
        <v>769</v>
      </c>
      <c r="M7" s="130">
        <v>803</v>
      </c>
      <c r="N7" s="130">
        <v>797</v>
      </c>
      <c r="O7" s="130">
        <v>926.5</v>
      </c>
      <c r="P7" s="130">
        <v>885.5</v>
      </c>
      <c r="Q7" s="130">
        <v>1003</v>
      </c>
      <c r="R7" s="130">
        <v>961</v>
      </c>
      <c r="S7" s="130">
        <v>1091</v>
      </c>
      <c r="T7" s="130">
        <v>1090</v>
      </c>
      <c r="U7" s="130">
        <v>1434</v>
      </c>
      <c r="V7" s="130">
        <v>1565</v>
      </c>
      <c r="W7" s="130">
        <v>1834</v>
      </c>
      <c r="X7" s="130">
        <v>2832</v>
      </c>
      <c r="Y7" s="130">
        <v>2934</v>
      </c>
      <c r="Z7" s="130">
        <v>3048</v>
      </c>
      <c r="AA7" s="130">
        <v>3210</v>
      </c>
      <c r="AB7" s="130">
        <v>2370</v>
      </c>
      <c r="AC7" s="130">
        <v>2583</v>
      </c>
      <c r="AD7" s="130">
        <v>2579</v>
      </c>
      <c r="AE7" s="130">
        <v>2595</v>
      </c>
      <c r="AF7" s="130">
        <v>2587</v>
      </c>
      <c r="AG7" s="130">
        <v>6700</v>
      </c>
      <c r="AH7" s="130">
        <v>6696</v>
      </c>
      <c r="AI7" s="130">
        <v>6981</v>
      </c>
      <c r="AJ7" s="130">
        <v>6909.4</v>
      </c>
      <c r="AK7" s="130">
        <v>3051</v>
      </c>
      <c r="AL7" s="130">
        <v>3029</v>
      </c>
      <c r="AM7" s="130">
        <v>3530</v>
      </c>
      <c r="AN7" s="130">
        <v>3566</v>
      </c>
      <c r="AO7" s="130">
        <v>4009</v>
      </c>
      <c r="AP7" s="130">
        <v>4067</v>
      </c>
      <c r="AQ7" s="130">
        <v>4076</v>
      </c>
      <c r="AR7" s="130">
        <v>4216</v>
      </c>
      <c r="AS7" s="130">
        <v>10762</v>
      </c>
      <c r="AT7" s="130">
        <v>10874</v>
      </c>
      <c r="AU7" s="130">
        <v>10837</v>
      </c>
      <c r="AV7" s="130">
        <v>11146</v>
      </c>
      <c r="AW7" s="130">
        <v>4846</v>
      </c>
      <c r="AX7" s="130">
        <v>4909</v>
      </c>
      <c r="AY7" s="130">
        <v>4878</v>
      </c>
      <c r="AZ7" s="130">
        <v>4673</v>
      </c>
      <c r="BA7" s="130">
        <v>4184</v>
      </c>
      <c r="BB7" s="132">
        <v>4153</v>
      </c>
      <c r="BC7" s="132">
        <v>4144</v>
      </c>
      <c r="BD7" s="132">
        <v>4256</v>
      </c>
      <c r="BE7" s="132">
        <v>4062</v>
      </c>
      <c r="BF7" s="132">
        <v>15443</v>
      </c>
      <c r="BG7" s="132">
        <v>14971</v>
      </c>
      <c r="BH7" s="132">
        <v>15075</v>
      </c>
      <c r="BI7" s="132">
        <v>14740</v>
      </c>
      <c r="BJ7" s="132">
        <v>3496</v>
      </c>
      <c r="BK7" s="132">
        <v>3230</v>
      </c>
      <c r="BL7" s="132">
        <v>3110</v>
      </c>
      <c r="BM7" s="132">
        <v>3502</v>
      </c>
      <c r="BN7" s="132">
        <v>3404</v>
      </c>
      <c r="BO7" s="132">
        <v>3781</v>
      </c>
      <c r="BP7" s="132">
        <v>4037</v>
      </c>
      <c r="BQ7" s="132">
        <v>4080</v>
      </c>
    </row>
    <row r="8" spans="1:69" ht="6.75" customHeight="1" x14ac:dyDescent="0.3">
      <c r="A8" s="122"/>
      <c r="B8" s="131"/>
      <c r="C8" s="122"/>
      <c r="D8" s="140"/>
      <c r="E8" s="140"/>
      <c r="F8" s="122"/>
      <c r="G8" s="122"/>
      <c r="H8" s="122"/>
      <c r="I8" s="122"/>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2"/>
      <c r="BC8" s="132"/>
      <c r="BD8" s="132"/>
      <c r="BE8" s="132"/>
      <c r="BF8" s="132"/>
      <c r="BG8" s="132"/>
      <c r="BH8" s="132"/>
      <c r="BI8" s="132"/>
      <c r="BJ8" s="132"/>
      <c r="BK8" s="132"/>
      <c r="BL8" s="132"/>
      <c r="BM8" s="132"/>
      <c r="BN8" s="132"/>
      <c r="BO8" s="132"/>
      <c r="BP8" s="132"/>
      <c r="BQ8" s="132"/>
    </row>
    <row r="9" spans="1:69" x14ac:dyDescent="0.35">
      <c r="A9" s="122" t="s">
        <v>219</v>
      </c>
      <c r="B9" s="135"/>
      <c r="C9" s="122"/>
      <c r="D9" s="140"/>
      <c r="E9" s="140"/>
      <c r="F9" s="122"/>
      <c r="G9" s="122"/>
      <c r="H9" s="122"/>
      <c r="I9" s="122"/>
      <c r="J9" s="129"/>
      <c r="K9" s="141"/>
      <c r="L9" s="128"/>
      <c r="M9" s="129"/>
      <c r="N9" s="129"/>
      <c r="O9" s="129"/>
      <c r="P9" s="129"/>
      <c r="Q9" s="129"/>
      <c r="R9" s="129"/>
      <c r="S9" s="129"/>
      <c r="T9" s="129"/>
      <c r="U9" s="129"/>
      <c r="V9" s="129"/>
      <c r="W9" s="129"/>
      <c r="X9" s="129"/>
      <c r="Y9" s="103"/>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row>
    <row r="10" spans="1:69" ht="14" x14ac:dyDescent="0.3">
      <c r="A10" s="122" t="s">
        <v>222</v>
      </c>
      <c r="B10" s="135">
        <v>229</v>
      </c>
      <c r="C10" s="122">
        <v>199</v>
      </c>
      <c r="D10" s="140">
        <v>218.3</v>
      </c>
      <c r="E10" s="140">
        <v>227.60000000000002</v>
      </c>
      <c r="F10" s="130">
        <v>281.39999999999998</v>
      </c>
      <c r="G10" s="130">
        <v>276.59999999999997</v>
      </c>
      <c r="H10" s="130">
        <v>329.3</v>
      </c>
      <c r="I10" s="130">
        <v>387.4</v>
      </c>
      <c r="J10" s="129">
        <v>201.9</v>
      </c>
      <c r="K10" s="129">
        <v>353.4</v>
      </c>
      <c r="L10" s="128">
        <v>424</v>
      </c>
      <c r="M10" s="129">
        <v>477</v>
      </c>
      <c r="N10" s="129">
        <v>493</v>
      </c>
      <c r="O10" s="129">
        <v>536.5</v>
      </c>
      <c r="P10" s="129">
        <v>534</v>
      </c>
      <c r="Q10" s="129">
        <v>559</v>
      </c>
      <c r="R10" s="129">
        <v>537</v>
      </c>
      <c r="S10" s="129">
        <v>546</v>
      </c>
      <c r="T10" s="129">
        <v>535</v>
      </c>
      <c r="U10" s="129">
        <v>558</v>
      </c>
      <c r="V10" s="129">
        <v>598</v>
      </c>
      <c r="W10" s="129">
        <v>618</v>
      </c>
      <c r="X10" s="129">
        <v>666</v>
      </c>
      <c r="Y10" s="139">
        <v>677</v>
      </c>
      <c r="Z10" s="138">
        <v>691</v>
      </c>
      <c r="AA10" s="138">
        <v>688</v>
      </c>
      <c r="AB10" s="138">
        <v>695</v>
      </c>
      <c r="AC10" s="138">
        <v>688</v>
      </c>
      <c r="AD10" s="138">
        <v>696</v>
      </c>
      <c r="AE10" s="138">
        <v>711</v>
      </c>
      <c r="AF10" s="138">
        <v>712</v>
      </c>
      <c r="AG10" s="138">
        <v>727</v>
      </c>
      <c r="AH10" s="138">
        <v>730</v>
      </c>
      <c r="AI10" s="138">
        <v>704</v>
      </c>
      <c r="AJ10" s="138">
        <v>709</v>
      </c>
      <c r="AK10" s="138">
        <v>673</v>
      </c>
      <c r="AL10" s="138">
        <v>674</v>
      </c>
      <c r="AM10" s="138">
        <v>669</v>
      </c>
      <c r="AN10" s="138">
        <v>670</v>
      </c>
      <c r="AO10" s="138">
        <v>690</v>
      </c>
      <c r="AP10" s="138">
        <v>692</v>
      </c>
      <c r="AQ10" s="138">
        <v>713</v>
      </c>
      <c r="AR10" s="138">
        <v>710</v>
      </c>
      <c r="AS10" s="138">
        <v>726</v>
      </c>
      <c r="AT10" s="138">
        <v>744</v>
      </c>
      <c r="AU10" s="138">
        <v>660</v>
      </c>
      <c r="AV10" s="138">
        <v>669</v>
      </c>
      <c r="AW10" s="138">
        <v>595</v>
      </c>
      <c r="AX10" s="138">
        <v>591</v>
      </c>
      <c r="AY10" s="138">
        <v>593</v>
      </c>
      <c r="AZ10" s="138">
        <v>616</v>
      </c>
      <c r="BA10" s="138">
        <v>582</v>
      </c>
      <c r="BB10" s="128">
        <v>575</v>
      </c>
      <c r="BC10" s="128">
        <v>582</v>
      </c>
      <c r="BD10" s="128">
        <v>561</v>
      </c>
      <c r="BE10" s="128">
        <v>674</v>
      </c>
      <c r="BF10" s="128">
        <v>1077</v>
      </c>
      <c r="BG10" s="128">
        <v>1325</v>
      </c>
      <c r="BH10" s="128">
        <v>1603</v>
      </c>
      <c r="BI10" s="128">
        <v>1623</v>
      </c>
      <c r="BJ10" s="128">
        <v>1551</v>
      </c>
      <c r="BK10" s="128">
        <v>1445</v>
      </c>
      <c r="BL10" s="132">
        <v>1717</v>
      </c>
      <c r="BM10" s="132">
        <v>1947</v>
      </c>
      <c r="BN10" s="132">
        <v>2058.63</v>
      </c>
      <c r="BO10" s="132">
        <v>2287</v>
      </c>
      <c r="BP10" s="132">
        <v>2192</v>
      </c>
      <c r="BQ10" s="132">
        <v>2191.31</v>
      </c>
    </row>
    <row r="11" spans="1:69" ht="8.4" customHeight="1" x14ac:dyDescent="0.35">
      <c r="A11" s="122"/>
      <c r="B11" s="131"/>
      <c r="C11" s="122"/>
      <c r="D11" s="122"/>
      <c r="E11" s="122"/>
      <c r="F11" s="122"/>
      <c r="G11" s="122"/>
      <c r="H11" s="122"/>
      <c r="I11" s="122"/>
      <c r="J11" s="129"/>
      <c r="K11" s="129"/>
      <c r="L11" s="128"/>
      <c r="M11" s="129"/>
      <c r="N11" s="129"/>
      <c r="O11" s="129"/>
      <c r="P11" s="129"/>
      <c r="Q11" s="129"/>
      <c r="R11" s="129"/>
      <c r="S11" s="129"/>
      <c r="T11" s="129"/>
      <c r="U11" s="129"/>
      <c r="V11" s="129"/>
      <c r="W11" s="129"/>
      <c r="X11" s="129"/>
      <c r="Y11" s="103"/>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row>
    <row r="12" spans="1:69" x14ac:dyDescent="0.35">
      <c r="A12" s="127" t="s">
        <v>221</v>
      </c>
      <c r="B12" s="126">
        <v>3680</v>
      </c>
      <c r="C12" s="125">
        <v>4084</v>
      </c>
      <c r="D12" s="125">
        <v>2265</v>
      </c>
      <c r="E12" s="125">
        <v>3583.9</v>
      </c>
      <c r="F12" s="125">
        <v>4560.9000000000005</v>
      </c>
      <c r="G12" s="125">
        <v>4881.8999999999996</v>
      </c>
      <c r="H12" s="125">
        <v>2324</v>
      </c>
      <c r="I12" s="125">
        <v>1642</v>
      </c>
      <c r="J12" s="125">
        <v>410.6</v>
      </c>
      <c r="K12" s="125">
        <v>546.20000000000005</v>
      </c>
      <c r="L12" s="125">
        <v>588.79999999999995</v>
      </c>
      <c r="M12" s="125">
        <v>651</v>
      </c>
      <c r="N12" s="125">
        <v>695</v>
      </c>
      <c r="O12" s="125">
        <v>671</v>
      </c>
      <c r="P12" s="125">
        <v>716</v>
      </c>
      <c r="Q12" s="125">
        <v>715</v>
      </c>
      <c r="R12" s="125">
        <v>717</v>
      </c>
      <c r="S12" s="125">
        <v>701</v>
      </c>
      <c r="T12" s="125">
        <v>701</v>
      </c>
      <c r="U12" s="125">
        <v>705</v>
      </c>
      <c r="V12" s="125">
        <v>632</v>
      </c>
      <c r="W12" s="125">
        <v>604</v>
      </c>
      <c r="X12" s="125">
        <v>491</v>
      </c>
      <c r="Y12" s="125">
        <v>554</v>
      </c>
      <c r="Z12" s="125">
        <v>514</v>
      </c>
      <c r="AA12" s="125">
        <v>947</v>
      </c>
      <c r="AB12" s="125">
        <v>907</v>
      </c>
      <c r="AC12" s="125">
        <v>1378</v>
      </c>
      <c r="AD12" s="125">
        <v>1378</v>
      </c>
      <c r="AE12" s="125">
        <v>907</v>
      </c>
      <c r="AF12" s="125">
        <v>1458</v>
      </c>
      <c r="AG12" s="125">
        <v>1542</v>
      </c>
      <c r="AH12" s="125">
        <v>1548</v>
      </c>
      <c r="AI12" s="125">
        <v>2047</v>
      </c>
      <c r="AJ12" s="125">
        <v>1513</v>
      </c>
      <c r="AK12" s="125">
        <v>1361</v>
      </c>
      <c r="AL12" s="125">
        <v>1382</v>
      </c>
      <c r="AM12" s="125">
        <v>1390</v>
      </c>
      <c r="AN12" s="125">
        <v>1361</v>
      </c>
      <c r="AO12" s="125">
        <v>1403</v>
      </c>
      <c r="AP12" s="125">
        <v>1424</v>
      </c>
      <c r="AQ12" s="125">
        <v>1516</v>
      </c>
      <c r="AR12" s="125">
        <v>1516</v>
      </c>
      <c r="AS12" s="125">
        <v>1775</v>
      </c>
      <c r="AT12" s="125">
        <v>1801</v>
      </c>
      <c r="AU12" s="125">
        <v>2025</v>
      </c>
      <c r="AV12" s="125">
        <v>2004</v>
      </c>
      <c r="AW12" s="125">
        <v>2014</v>
      </c>
      <c r="AX12" s="125">
        <v>1977</v>
      </c>
      <c r="AY12" s="125">
        <v>2014</v>
      </c>
      <c r="AZ12" s="125">
        <v>2025</v>
      </c>
      <c r="BA12" s="125">
        <v>1898</v>
      </c>
      <c r="BB12" s="124">
        <v>1986</v>
      </c>
      <c r="BC12" s="124">
        <v>2019</v>
      </c>
      <c r="BD12" s="124">
        <v>2029</v>
      </c>
      <c r="BE12" s="124">
        <v>2362</v>
      </c>
      <c r="BF12" s="124">
        <v>2231</v>
      </c>
      <c r="BG12" s="124">
        <v>2927</v>
      </c>
      <c r="BH12" s="124">
        <v>2941</v>
      </c>
      <c r="BI12" s="124">
        <v>2879</v>
      </c>
      <c r="BJ12" s="124">
        <v>3136</v>
      </c>
      <c r="BK12" s="124">
        <v>2829</v>
      </c>
      <c r="BL12" s="124">
        <v>3102.91</v>
      </c>
      <c r="BM12" s="124">
        <v>3189</v>
      </c>
      <c r="BN12" s="124">
        <v>3165.25</v>
      </c>
      <c r="BO12" s="124">
        <v>2479</v>
      </c>
      <c r="BP12" s="124">
        <v>2454</v>
      </c>
      <c r="BQ12" s="124">
        <v>2014</v>
      </c>
    </row>
    <row r="13" spans="1:69" ht="6" customHeight="1" x14ac:dyDescent="0.35">
      <c r="A13" s="122"/>
      <c r="B13" s="131"/>
      <c r="C13" s="122"/>
      <c r="D13" s="122"/>
      <c r="E13" s="122"/>
      <c r="F13" s="122"/>
      <c r="G13" s="122"/>
      <c r="H13" s="122"/>
      <c r="I13" s="122"/>
      <c r="J13" s="129"/>
      <c r="K13" s="129"/>
      <c r="L13" s="128"/>
      <c r="M13" s="129"/>
      <c r="N13" s="129"/>
      <c r="O13" s="129"/>
      <c r="P13" s="129"/>
      <c r="Q13" s="129"/>
      <c r="R13" s="129"/>
      <c r="S13" s="129"/>
      <c r="T13" s="129"/>
      <c r="U13" s="129"/>
      <c r="V13" s="129"/>
      <c r="W13" s="129"/>
      <c r="X13" s="129"/>
      <c r="Y13" s="103"/>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row>
    <row r="14" spans="1:69" ht="14" x14ac:dyDescent="0.3">
      <c r="A14" s="122" t="s">
        <v>998</v>
      </c>
      <c r="B14" s="135">
        <v>3143</v>
      </c>
      <c r="C14" s="130">
        <v>3640</v>
      </c>
      <c r="D14" s="130">
        <v>1898</v>
      </c>
      <c r="E14" s="130">
        <v>3239.6</v>
      </c>
      <c r="F14" s="130">
        <v>4130.3</v>
      </c>
      <c r="G14" s="130">
        <v>4341.2</v>
      </c>
      <c r="H14" s="130">
        <v>1950</v>
      </c>
      <c r="I14" s="130">
        <v>1342</v>
      </c>
      <c r="J14" s="130">
        <v>366</v>
      </c>
      <c r="K14" s="130">
        <v>483.2</v>
      </c>
      <c r="L14" s="130">
        <v>516.4</v>
      </c>
      <c r="M14" s="130">
        <v>530</v>
      </c>
      <c r="N14" s="130">
        <v>568</v>
      </c>
      <c r="O14" s="130">
        <v>485</v>
      </c>
      <c r="P14" s="130">
        <v>531</v>
      </c>
      <c r="Q14" s="130">
        <v>511</v>
      </c>
      <c r="R14" s="130">
        <v>521</v>
      </c>
      <c r="S14" s="130">
        <v>501</v>
      </c>
      <c r="T14" s="130">
        <v>507</v>
      </c>
      <c r="U14" s="130">
        <v>511</v>
      </c>
      <c r="V14" s="130">
        <v>441</v>
      </c>
      <c r="W14" s="130">
        <v>408</v>
      </c>
      <c r="X14" s="130">
        <v>298</v>
      </c>
      <c r="Y14" s="130">
        <v>334</v>
      </c>
      <c r="Z14" s="130">
        <v>296</v>
      </c>
      <c r="AA14" s="130">
        <v>702</v>
      </c>
      <c r="AB14" s="130">
        <v>664</v>
      </c>
      <c r="AC14" s="130">
        <v>1123</v>
      </c>
      <c r="AD14" s="130">
        <v>1123</v>
      </c>
      <c r="AE14" s="130">
        <v>740</v>
      </c>
      <c r="AF14" s="130">
        <v>1204</v>
      </c>
      <c r="AG14" s="130">
        <v>1217</v>
      </c>
      <c r="AH14" s="130">
        <v>1217</v>
      </c>
      <c r="AI14" s="130">
        <v>1650</v>
      </c>
      <c r="AJ14" s="130">
        <v>1186</v>
      </c>
      <c r="AK14" s="130">
        <v>1144</v>
      </c>
      <c r="AL14" s="130">
        <v>1144</v>
      </c>
      <c r="AM14" s="130">
        <v>1161</v>
      </c>
      <c r="AN14" s="130">
        <v>1150</v>
      </c>
      <c r="AO14" s="130">
        <v>1177</v>
      </c>
      <c r="AP14" s="130">
        <v>1177</v>
      </c>
      <c r="AQ14" s="130">
        <v>1203</v>
      </c>
      <c r="AR14" s="130">
        <v>1203</v>
      </c>
      <c r="AS14" s="130">
        <v>1394</v>
      </c>
      <c r="AT14" s="130">
        <v>1469</v>
      </c>
      <c r="AU14" s="130">
        <v>1656</v>
      </c>
      <c r="AV14" s="130">
        <v>1635</v>
      </c>
      <c r="AW14" s="130">
        <v>1664</v>
      </c>
      <c r="AX14" s="130">
        <v>1571</v>
      </c>
      <c r="AY14" s="130">
        <v>1626</v>
      </c>
      <c r="AZ14" s="130">
        <v>1626</v>
      </c>
      <c r="BA14" s="130">
        <v>1545</v>
      </c>
      <c r="BB14" s="132">
        <v>1668</v>
      </c>
      <c r="BC14" s="132">
        <v>1694</v>
      </c>
      <c r="BD14" s="132">
        <v>1694</v>
      </c>
      <c r="BE14" s="132">
        <v>1889</v>
      </c>
      <c r="BF14" s="132">
        <v>1752</v>
      </c>
      <c r="BG14" s="132">
        <v>1768</v>
      </c>
      <c r="BH14" s="132">
        <v>1768</v>
      </c>
      <c r="BI14" s="132">
        <v>1632</v>
      </c>
      <c r="BJ14" s="132">
        <v>1776</v>
      </c>
      <c r="BK14" s="132">
        <v>1996</v>
      </c>
      <c r="BL14" s="132">
        <v>2169</v>
      </c>
      <c r="BM14" s="132">
        <v>2373</v>
      </c>
      <c r="BN14" s="132">
        <v>2370.88</v>
      </c>
      <c r="BO14" s="132">
        <v>1736</v>
      </c>
      <c r="BP14" s="132">
        <v>1735</v>
      </c>
      <c r="BQ14" s="132">
        <v>1237</v>
      </c>
    </row>
    <row r="15" spans="1:69" ht="6.75" customHeight="1" x14ac:dyDescent="0.35">
      <c r="A15" s="122"/>
      <c r="B15" s="135"/>
      <c r="C15" s="130"/>
      <c r="D15" s="130"/>
      <c r="E15" s="130"/>
      <c r="F15" s="130"/>
      <c r="G15" s="130"/>
      <c r="H15" s="130"/>
      <c r="I15" s="130"/>
      <c r="J15" s="129"/>
      <c r="K15" s="136"/>
      <c r="L15" s="128"/>
      <c r="M15" s="129"/>
      <c r="N15" s="129"/>
      <c r="O15" s="129"/>
      <c r="P15" s="129"/>
      <c r="Q15" s="129"/>
      <c r="R15" s="129"/>
      <c r="S15" s="129"/>
      <c r="T15" s="129"/>
      <c r="U15" s="129"/>
      <c r="V15" s="129"/>
      <c r="W15" s="129"/>
      <c r="X15" s="129"/>
      <c r="Y15" s="103"/>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row>
    <row r="16" spans="1:69" x14ac:dyDescent="0.35">
      <c r="A16" s="122" t="s">
        <v>219</v>
      </c>
      <c r="B16" s="135"/>
      <c r="C16" s="122"/>
      <c r="D16" s="122"/>
      <c r="E16" s="122"/>
      <c r="F16" s="122"/>
      <c r="G16" s="122"/>
      <c r="H16" s="122"/>
      <c r="I16" s="122"/>
      <c r="J16" s="129"/>
      <c r="K16" s="136"/>
      <c r="L16" s="128"/>
      <c r="M16" s="129"/>
      <c r="N16" s="129"/>
      <c r="O16" s="129"/>
      <c r="P16" s="129"/>
      <c r="Q16" s="129"/>
      <c r="R16" s="129"/>
      <c r="S16" s="129"/>
      <c r="T16" s="129"/>
      <c r="U16" s="129"/>
      <c r="V16" s="129"/>
      <c r="W16" s="129"/>
      <c r="X16" s="129"/>
      <c r="Y16" s="103"/>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8"/>
      <c r="BQ16" s="128"/>
    </row>
    <row r="17" spans="1:69" ht="14" x14ac:dyDescent="0.3">
      <c r="A17" s="122" t="s">
        <v>218</v>
      </c>
      <c r="B17" s="135">
        <v>537</v>
      </c>
      <c r="C17" s="122">
        <v>444</v>
      </c>
      <c r="D17" s="122">
        <v>367</v>
      </c>
      <c r="E17" s="130">
        <v>344.3</v>
      </c>
      <c r="F17" s="130">
        <v>430.6</v>
      </c>
      <c r="G17" s="130">
        <v>540.70000000000005</v>
      </c>
      <c r="H17" s="122">
        <v>374</v>
      </c>
      <c r="I17" s="122">
        <v>300</v>
      </c>
      <c r="J17" s="122">
        <v>44.6</v>
      </c>
      <c r="K17" s="122">
        <v>63</v>
      </c>
      <c r="L17" s="122">
        <v>72.400000000000006</v>
      </c>
      <c r="M17" s="122">
        <v>121</v>
      </c>
      <c r="N17" s="122">
        <v>127</v>
      </c>
      <c r="O17" s="122">
        <v>186</v>
      </c>
      <c r="P17" s="122">
        <v>185</v>
      </c>
      <c r="Q17" s="122">
        <v>204</v>
      </c>
      <c r="R17" s="122">
        <v>196</v>
      </c>
      <c r="S17" s="122">
        <v>200</v>
      </c>
      <c r="T17" s="122">
        <v>194</v>
      </c>
      <c r="U17" s="122">
        <v>194</v>
      </c>
      <c r="V17" s="122">
        <v>191</v>
      </c>
      <c r="W17" s="122">
        <v>196</v>
      </c>
      <c r="X17" s="122">
        <v>193</v>
      </c>
      <c r="Y17" s="122">
        <v>220</v>
      </c>
      <c r="Z17" s="122">
        <v>218</v>
      </c>
      <c r="AA17" s="122">
        <v>245</v>
      </c>
      <c r="AB17" s="122">
        <v>243</v>
      </c>
      <c r="AC17" s="122">
        <v>255</v>
      </c>
      <c r="AD17" s="122">
        <v>255</v>
      </c>
      <c r="AE17" s="122">
        <v>167</v>
      </c>
      <c r="AF17" s="122">
        <v>254</v>
      </c>
      <c r="AG17" s="122">
        <v>325</v>
      </c>
      <c r="AH17" s="122">
        <v>331</v>
      </c>
      <c r="AI17" s="122">
        <v>397</v>
      </c>
      <c r="AJ17" s="122">
        <v>327</v>
      </c>
      <c r="AK17" s="122">
        <v>217</v>
      </c>
      <c r="AL17" s="122">
        <v>238</v>
      </c>
      <c r="AM17" s="122">
        <v>229</v>
      </c>
      <c r="AN17" s="122">
        <v>211</v>
      </c>
      <c r="AO17" s="122">
        <v>226</v>
      </c>
      <c r="AP17" s="122">
        <v>247</v>
      </c>
      <c r="AQ17" s="122">
        <v>313</v>
      </c>
      <c r="AR17" s="122">
        <v>313</v>
      </c>
      <c r="AS17" s="137">
        <v>381</v>
      </c>
      <c r="AT17" s="122">
        <v>332</v>
      </c>
      <c r="AU17" s="122">
        <v>369</v>
      </c>
      <c r="AV17" s="122">
        <v>369</v>
      </c>
      <c r="AW17" s="122">
        <v>350</v>
      </c>
      <c r="AX17" s="122">
        <v>406</v>
      </c>
      <c r="AY17" s="122">
        <v>388</v>
      </c>
      <c r="AZ17" s="122">
        <v>399</v>
      </c>
      <c r="BA17" s="122">
        <v>353</v>
      </c>
      <c r="BB17" s="121">
        <v>318</v>
      </c>
      <c r="BC17" s="121">
        <v>325</v>
      </c>
      <c r="BD17" s="121">
        <v>335</v>
      </c>
      <c r="BE17" s="121">
        <v>473</v>
      </c>
      <c r="BF17" s="121">
        <v>479</v>
      </c>
      <c r="BG17" s="121">
        <v>1159</v>
      </c>
      <c r="BH17" s="121">
        <v>1173</v>
      </c>
      <c r="BI17" s="121">
        <v>1247</v>
      </c>
      <c r="BJ17" s="121">
        <v>1360</v>
      </c>
      <c r="BK17" s="121">
        <v>833</v>
      </c>
      <c r="BL17" s="132">
        <v>933.91</v>
      </c>
      <c r="BM17" s="132">
        <v>816</v>
      </c>
      <c r="BN17" s="132">
        <v>794.37</v>
      </c>
      <c r="BO17" s="132">
        <v>743</v>
      </c>
      <c r="BP17" s="132">
        <v>719</v>
      </c>
      <c r="BQ17" s="132">
        <v>777</v>
      </c>
    </row>
    <row r="18" spans="1:69" ht="5.25" customHeight="1" x14ac:dyDescent="0.35">
      <c r="A18" s="122"/>
      <c r="B18" s="131"/>
      <c r="C18" s="122"/>
      <c r="D18" s="122"/>
      <c r="E18" s="122"/>
      <c r="F18" s="122"/>
      <c r="G18" s="122"/>
      <c r="H18" s="122"/>
      <c r="I18" s="122"/>
      <c r="J18" s="129"/>
      <c r="K18" s="129"/>
      <c r="L18" s="128"/>
      <c r="M18" s="129"/>
      <c r="N18" s="129"/>
      <c r="O18" s="129"/>
      <c r="P18" s="129"/>
      <c r="Q18" s="129"/>
      <c r="R18" s="129"/>
      <c r="S18" s="129"/>
      <c r="T18" s="129"/>
      <c r="U18" s="129"/>
      <c r="V18" s="129"/>
      <c r="W18" s="129"/>
      <c r="X18" s="129"/>
      <c r="Y18" s="103"/>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8"/>
      <c r="BP18" s="128"/>
      <c r="BQ18" s="128"/>
    </row>
    <row r="19" spans="1:69" x14ac:dyDescent="0.35">
      <c r="A19" s="127" t="s">
        <v>220</v>
      </c>
      <c r="B19" s="126">
        <v>1265</v>
      </c>
      <c r="C19" s="125">
        <v>1369</v>
      </c>
      <c r="D19" s="125">
        <v>1984</v>
      </c>
      <c r="E19" s="125">
        <v>1501</v>
      </c>
      <c r="F19" s="125">
        <v>3101.4</v>
      </c>
      <c r="G19" s="125">
        <v>2552.2000000000003</v>
      </c>
      <c r="H19" s="125">
        <v>1110.4000000000001</v>
      </c>
      <c r="I19" s="125">
        <v>285.89999999999998</v>
      </c>
      <c r="J19" s="125">
        <v>417.59999999999997</v>
      </c>
      <c r="K19" s="125">
        <v>1145.2</v>
      </c>
      <c r="L19" s="125">
        <v>911</v>
      </c>
      <c r="M19" s="125">
        <v>921</v>
      </c>
      <c r="N19" s="125">
        <v>738</v>
      </c>
      <c r="O19" s="125">
        <v>681</v>
      </c>
      <c r="P19" s="125">
        <v>548.5</v>
      </c>
      <c r="Q19" s="125">
        <v>547</v>
      </c>
      <c r="R19" s="125">
        <v>396</v>
      </c>
      <c r="S19" s="125">
        <v>401</v>
      </c>
      <c r="T19" s="125">
        <v>248</v>
      </c>
      <c r="U19" s="125">
        <v>253</v>
      </c>
      <c r="V19" s="125">
        <v>217</v>
      </c>
      <c r="W19" s="125">
        <v>219</v>
      </c>
      <c r="X19" s="125">
        <v>218</v>
      </c>
      <c r="Y19" s="125">
        <v>229</v>
      </c>
      <c r="Z19" s="125">
        <v>223</v>
      </c>
      <c r="AA19" s="125">
        <v>224</v>
      </c>
      <c r="AB19" s="125">
        <v>225</v>
      </c>
      <c r="AC19" s="125">
        <v>210</v>
      </c>
      <c r="AD19" s="125">
        <v>216</v>
      </c>
      <c r="AE19" s="125">
        <v>216</v>
      </c>
      <c r="AF19" s="125">
        <v>217</v>
      </c>
      <c r="AG19" s="125">
        <v>215</v>
      </c>
      <c r="AH19" s="125">
        <v>214</v>
      </c>
      <c r="AI19" s="125">
        <v>217</v>
      </c>
      <c r="AJ19" s="125">
        <v>219</v>
      </c>
      <c r="AK19" s="125">
        <v>226</v>
      </c>
      <c r="AL19" s="125">
        <v>232</v>
      </c>
      <c r="AM19" s="125">
        <v>235</v>
      </c>
      <c r="AN19" s="125">
        <v>238</v>
      </c>
      <c r="AO19" s="125">
        <v>235</v>
      </c>
      <c r="AP19" s="125">
        <v>233</v>
      </c>
      <c r="AQ19" s="125">
        <v>234</v>
      </c>
      <c r="AR19" s="125">
        <v>235</v>
      </c>
      <c r="AS19" s="125">
        <v>229</v>
      </c>
      <c r="AT19" s="125">
        <v>191</v>
      </c>
      <c r="AU19" s="125">
        <v>140</v>
      </c>
      <c r="AV19" s="125">
        <v>85</v>
      </c>
      <c r="AW19" s="125">
        <v>43</v>
      </c>
      <c r="AX19" s="125">
        <v>30</v>
      </c>
      <c r="AY19" s="125">
        <v>30</v>
      </c>
      <c r="AZ19" s="125">
        <v>526</v>
      </c>
      <c r="BA19" s="125">
        <v>526</v>
      </c>
      <c r="BB19" s="124">
        <v>526</v>
      </c>
      <c r="BC19" s="124">
        <v>525</v>
      </c>
      <c r="BD19" s="124">
        <v>29</v>
      </c>
      <c r="BE19" s="124">
        <v>20</v>
      </c>
      <c r="BF19" s="124">
        <v>20</v>
      </c>
      <c r="BG19" s="124">
        <v>6</v>
      </c>
      <c r="BH19" s="124">
        <v>6</v>
      </c>
      <c r="BI19" s="124">
        <v>0</v>
      </c>
      <c r="BJ19" s="124">
        <v>0</v>
      </c>
      <c r="BK19" s="124">
        <v>0</v>
      </c>
      <c r="BL19" s="124">
        <v>0</v>
      </c>
      <c r="BM19" s="124">
        <v>0</v>
      </c>
      <c r="BN19" s="124">
        <v>0</v>
      </c>
      <c r="BO19" s="124">
        <v>0</v>
      </c>
      <c r="BP19" s="124">
        <v>0</v>
      </c>
      <c r="BQ19" s="124">
        <v>0</v>
      </c>
    </row>
    <row r="20" spans="1:69" ht="6" customHeight="1" x14ac:dyDescent="0.35">
      <c r="A20" s="122"/>
      <c r="B20" s="131"/>
      <c r="C20" s="122"/>
      <c r="D20" s="122"/>
      <c r="E20" s="122"/>
      <c r="F20" s="122"/>
      <c r="G20" s="122"/>
      <c r="H20" s="122"/>
      <c r="I20" s="122"/>
      <c r="J20" s="129"/>
      <c r="K20" s="129"/>
      <c r="L20" s="128"/>
      <c r="M20" s="129"/>
      <c r="N20" s="129"/>
      <c r="O20" s="129"/>
      <c r="P20" s="129"/>
      <c r="Q20" s="129"/>
      <c r="R20" s="129"/>
      <c r="S20" s="129"/>
      <c r="T20" s="129"/>
      <c r="U20" s="129"/>
      <c r="V20" s="129"/>
      <c r="W20" s="129"/>
      <c r="X20" s="129"/>
      <c r="Y20" s="103"/>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c r="BM20" s="128"/>
      <c r="BN20" s="128"/>
      <c r="BO20" s="128"/>
      <c r="BP20" s="128"/>
      <c r="BQ20" s="128"/>
    </row>
    <row r="21" spans="1:69" ht="14" x14ac:dyDescent="0.3">
      <c r="A21" s="122" t="s">
        <v>998</v>
      </c>
      <c r="B21" s="135">
        <v>859</v>
      </c>
      <c r="C21" s="130">
        <v>987</v>
      </c>
      <c r="D21" s="130">
        <v>1636</v>
      </c>
      <c r="E21" s="130">
        <v>1190.5999999999999</v>
      </c>
      <c r="F21" s="130">
        <v>2787.6</v>
      </c>
      <c r="G21" s="130">
        <v>2244.3000000000002</v>
      </c>
      <c r="H21" s="130">
        <v>931.2</v>
      </c>
      <c r="I21" s="130">
        <v>243.5</v>
      </c>
      <c r="J21" s="130">
        <v>386.2</v>
      </c>
      <c r="K21" s="130">
        <v>1036.2</v>
      </c>
      <c r="L21" s="130">
        <v>842</v>
      </c>
      <c r="M21" s="130">
        <v>851</v>
      </c>
      <c r="N21" s="130">
        <v>672</v>
      </c>
      <c r="O21" s="130">
        <v>620</v>
      </c>
      <c r="P21" s="130">
        <v>496.5</v>
      </c>
      <c r="Q21" s="130">
        <v>502</v>
      </c>
      <c r="R21" s="130">
        <v>360</v>
      </c>
      <c r="S21" s="130">
        <v>367</v>
      </c>
      <c r="T21" s="130">
        <v>218</v>
      </c>
      <c r="U21" s="130">
        <v>223</v>
      </c>
      <c r="V21" s="130">
        <v>188</v>
      </c>
      <c r="W21" s="130">
        <v>190</v>
      </c>
      <c r="X21" s="130">
        <v>190</v>
      </c>
      <c r="Y21" s="130">
        <v>203</v>
      </c>
      <c r="Z21" s="130">
        <v>199</v>
      </c>
      <c r="AA21" s="130">
        <v>202</v>
      </c>
      <c r="AB21" s="130">
        <v>204</v>
      </c>
      <c r="AC21" s="130">
        <v>190</v>
      </c>
      <c r="AD21" s="130">
        <v>196</v>
      </c>
      <c r="AE21" s="130">
        <v>200</v>
      </c>
      <c r="AF21" s="130">
        <v>202</v>
      </c>
      <c r="AG21" s="130">
        <v>202</v>
      </c>
      <c r="AH21" s="130">
        <v>202</v>
      </c>
      <c r="AI21" s="130">
        <v>204</v>
      </c>
      <c r="AJ21" s="130">
        <v>207</v>
      </c>
      <c r="AK21" s="130">
        <v>214</v>
      </c>
      <c r="AL21" s="130">
        <v>220</v>
      </c>
      <c r="AM21" s="130">
        <v>224</v>
      </c>
      <c r="AN21" s="130">
        <v>227</v>
      </c>
      <c r="AO21" s="130">
        <v>227</v>
      </c>
      <c r="AP21" s="130">
        <v>226</v>
      </c>
      <c r="AQ21" s="130">
        <v>228</v>
      </c>
      <c r="AR21" s="130">
        <v>230</v>
      </c>
      <c r="AS21" s="130">
        <v>224</v>
      </c>
      <c r="AT21" s="130">
        <v>185</v>
      </c>
      <c r="AU21" s="130">
        <v>134</v>
      </c>
      <c r="AV21" s="130">
        <v>80</v>
      </c>
      <c r="AW21" s="130">
        <v>38</v>
      </c>
      <c r="AX21" s="130">
        <v>27</v>
      </c>
      <c r="AY21" s="130">
        <v>28</v>
      </c>
      <c r="AZ21" s="130">
        <v>524</v>
      </c>
      <c r="BA21" s="130">
        <v>524</v>
      </c>
      <c r="BB21" s="132">
        <v>524</v>
      </c>
      <c r="BC21" s="132">
        <v>523</v>
      </c>
      <c r="BD21" s="132">
        <v>27</v>
      </c>
      <c r="BE21" s="132">
        <v>19</v>
      </c>
      <c r="BF21" s="132">
        <v>19</v>
      </c>
      <c r="BG21" s="132">
        <v>6</v>
      </c>
      <c r="BH21" s="132">
        <v>6</v>
      </c>
      <c r="BI21" s="132">
        <v>0</v>
      </c>
      <c r="BJ21" s="132">
        <v>0</v>
      </c>
      <c r="BK21" s="132">
        <v>0</v>
      </c>
      <c r="BL21" s="132">
        <v>0</v>
      </c>
      <c r="BM21" s="132">
        <v>0</v>
      </c>
      <c r="BN21" s="132">
        <v>0</v>
      </c>
      <c r="BO21" s="132">
        <v>0</v>
      </c>
      <c r="BP21" s="132">
        <v>0</v>
      </c>
      <c r="BQ21" s="132">
        <v>0</v>
      </c>
    </row>
    <row r="22" spans="1:69" ht="6" customHeight="1" x14ac:dyDescent="0.35">
      <c r="A22" s="122"/>
      <c r="B22" s="131"/>
      <c r="C22" s="122"/>
      <c r="D22" s="122"/>
      <c r="E22" s="122"/>
      <c r="F22" s="122"/>
      <c r="G22" s="122"/>
      <c r="H22" s="122"/>
      <c r="I22" s="122"/>
      <c r="J22" s="129"/>
      <c r="K22" s="136"/>
      <c r="L22" s="128"/>
      <c r="M22" s="129"/>
      <c r="N22" s="129"/>
      <c r="O22" s="129"/>
      <c r="P22" s="129"/>
      <c r="Q22" s="129"/>
      <c r="R22" s="129"/>
      <c r="S22" s="129"/>
      <c r="T22" s="129"/>
      <c r="U22" s="129"/>
      <c r="V22" s="129"/>
      <c r="W22" s="129"/>
      <c r="X22" s="129"/>
      <c r="Y22" s="103"/>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row>
    <row r="23" spans="1:69" x14ac:dyDescent="0.35">
      <c r="A23" s="122" t="s">
        <v>219</v>
      </c>
      <c r="B23" s="135"/>
      <c r="C23" s="122"/>
      <c r="D23" s="122"/>
      <c r="E23" s="122"/>
      <c r="F23" s="122"/>
      <c r="G23" s="122"/>
      <c r="H23" s="122"/>
      <c r="I23" s="122"/>
      <c r="J23" s="129"/>
      <c r="K23" s="136"/>
      <c r="L23" s="128"/>
      <c r="M23" s="129"/>
      <c r="N23" s="129"/>
      <c r="O23" s="129"/>
      <c r="P23" s="129"/>
      <c r="Q23" s="129"/>
      <c r="R23" s="129"/>
      <c r="S23" s="129"/>
      <c r="T23" s="129"/>
      <c r="U23" s="129"/>
      <c r="V23" s="129"/>
      <c r="W23" s="129"/>
      <c r="X23" s="129"/>
      <c r="Y23" s="103"/>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c r="BM23" s="128"/>
      <c r="BN23" s="128"/>
      <c r="BO23" s="128"/>
      <c r="BP23" s="128"/>
      <c r="BQ23" s="128"/>
    </row>
    <row r="24" spans="1:69" ht="14" x14ac:dyDescent="0.3">
      <c r="A24" s="122" t="s">
        <v>218</v>
      </c>
      <c r="B24" s="135">
        <v>406</v>
      </c>
      <c r="C24" s="122">
        <v>382</v>
      </c>
      <c r="D24" s="122">
        <v>348</v>
      </c>
      <c r="E24" s="130">
        <v>310.39999999999998</v>
      </c>
      <c r="F24" s="130">
        <v>313.8</v>
      </c>
      <c r="G24" s="130">
        <v>307.89999999999998</v>
      </c>
      <c r="H24" s="122">
        <v>179.2</v>
      </c>
      <c r="I24" s="130">
        <v>42.4</v>
      </c>
      <c r="J24" s="130">
        <v>31.4</v>
      </c>
      <c r="K24" s="130">
        <v>109</v>
      </c>
      <c r="L24" s="130">
        <v>69</v>
      </c>
      <c r="M24" s="130">
        <v>70</v>
      </c>
      <c r="N24" s="130">
        <v>66</v>
      </c>
      <c r="O24" s="130">
        <v>61</v>
      </c>
      <c r="P24" s="130">
        <v>52</v>
      </c>
      <c r="Q24" s="130">
        <v>45</v>
      </c>
      <c r="R24" s="130">
        <v>36</v>
      </c>
      <c r="S24" s="130">
        <v>34</v>
      </c>
      <c r="T24" s="130">
        <v>30</v>
      </c>
      <c r="U24" s="130">
        <v>30</v>
      </c>
      <c r="V24" s="130">
        <v>29</v>
      </c>
      <c r="W24" s="130">
        <v>29</v>
      </c>
      <c r="X24" s="130">
        <v>28</v>
      </c>
      <c r="Y24" s="130">
        <v>26</v>
      </c>
      <c r="Z24" s="130">
        <v>24</v>
      </c>
      <c r="AA24" s="130">
        <v>22</v>
      </c>
      <c r="AB24" s="130">
        <v>21</v>
      </c>
      <c r="AC24" s="130">
        <v>20</v>
      </c>
      <c r="AD24" s="130">
        <v>20</v>
      </c>
      <c r="AE24" s="130">
        <v>16</v>
      </c>
      <c r="AF24" s="130">
        <v>15</v>
      </c>
      <c r="AG24" s="130">
        <v>13</v>
      </c>
      <c r="AH24" s="130">
        <v>12</v>
      </c>
      <c r="AI24" s="130">
        <v>13</v>
      </c>
      <c r="AJ24" s="130">
        <v>12</v>
      </c>
      <c r="AK24" s="130">
        <v>12</v>
      </c>
      <c r="AL24" s="130">
        <v>12</v>
      </c>
      <c r="AM24" s="130">
        <v>11</v>
      </c>
      <c r="AN24" s="130">
        <v>11</v>
      </c>
      <c r="AO24" s="130">
        <v>8</v>
      </c>
      <c r="AP24" s="130">
        <v>7</v>
      </c>
      <c r="AQ24" s="130">
        <v>6</v>
      </c>
      <c r="AR24" s="130">
        <v>5</v>
      </c>
      <c r="AS24" s="130">
        <v>5</v>
      </c>
      <c r="AT24" s="130">
        <v>6</v>
      </c>
      <c r="AU24" s="130">
        <v>6</v>
      </c>
      <c r="AV24" s="130">
        <v>5</v>
      </c>
      <c r="AW24" s="130">
        <v>5</v>
      </c>
      <c r="AX24" s="130">
        <v>3</v>
      </c>
      <c r="AY24" s="130">
        <v>2</v>
      </c>
      <c r="AZ24" s="130">
        <v>2</v>
      </c>
      <c r="BA24" s="130">
        <v>2</v>
      </c>
      <c r="BB24" s="132">
        <v>2</v>
      </c>
      <c r="BC24" s="132">
        <v>2</v>
      </c>
      <c r="BD24" s="132">
        <v>2</v>
      </c>
      <c r="BE24" s="132">
        <v>1</v>
      </c>
      <c r="BF24" s="132">
        <v>1</v>
      </c>
      <c r="BG24" s="132">
        <v>0</v>
      </c>
      <c r="BH24" s="132">
        <v>0</v>
      </c>
      <c r="BI24" s="132">
        <v>0</v>
      </c>
      <c r="BJ24" s="132">
        <v>0</v>
      </c>
      <c r="BK24" s="132">
        <v>0</v>
      </c>
      <c r="BL24" s="132">
        <v>0</v>
      </c>
      <c r="BM24" s="132">
        <v>0</v>
      </c>
      <c r="BN24" s="132">
        <v>0</v>
      </c>
      <c r="BO24" s="132">
        <v>0</v>
      </c>
      <c r="BP24" s="132">
        <v>0</v>
      </c>
      <c r="BQ24" s="132">
        <v>0</v>
      </c>
    </row>
    <row r="25" spans="1:69" ht="6" customHeight="1" x14ac:dyDescent="0.35">
      <c r="A25" s="122"/>
      <c r="B25" s="131"/>
      <c r="C25" s="122"/>
      <c r="D25" s="122"/>
      <c r="E25" s="122"/>
      <c r="F25" s="122"/>
      <c r="G25" s="122"/>
      <c r="H25" s="122"/>
      <c r="I25" s="130"/>
      <c r="J25" s="129"/>
      <c r="K25" s="129"/>
      <c r="L25" s="128"/>
      <c r="M25" s="129"/>
      <c r="N25" s="129"/>
      <c r="O25" s="129"/>
      <c r="P25" s="129"/>
      <c r="Q25" s="129"/>
      <c r="R25" s="129"/>
      <c r="S25" s="129"/>
      <c r="T25" s="129"/>
      <c r="U25" s="129"/>
      <c r="V25" s="129"/>
      <c r="W25" s="129"/>
      <c r="X25" s="129"/>
      <c r="Y25" s="103"/>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c r="BN25" s="128"/>
      <c r="BO25" s="128"/>
      <c r="BP25" s="128"/>
      <c r="BQ25" s="128"/>
    </row>
    <row r="26" spans="1:69" ht="16" x14ac:dyDescent="0.35">
      <c r="A26" s="120" t="s">
        <v>217</v>
      </c>
      <c r="B26" s="126">
        <v>1170</v>
      </c>
      <c r="C26" s="125">
        <v>485</v>
      </c>
      <c r="D26" s="125">
        <v>617.70000000000005</v>
      </c>
      <c r="E26" s="125">
        <v>495.29999999999995</v>
      </c>
      <c r="F26" s="125">
        <v>597.69999999999993</v>
      </c>
      <c r="G26" s="125">
        <v>682.7</v>
      </c>
      <c r="H26" s="125">
        <v>1012</v>
      </c>
      <c r="I26" s="125">
        <v>920</v>
      </c>
      <c r="J26" s="125">
        <v>569</v>
      </c>
      <c r="K26" s="125">
        <v>3791</v>
      </c>
      <c r="L26" s="125">
        <v>3491</v>
      </c>
      <c r="M26" s="125">
        <v>4339</v>
      </c>
      <c r="N26" s="125">
        <v>4191</v>
      </c>
      <c r="O26" s="125">
        <v>3946</v>
      </c>
      <c r="P26" s="125">
        <v>4212</v>
      </c>
      <c r="Q26" s="125">
        <v>4619.3999999999996</v>
      </c>
      <c r="R26" s="125">
        <v>5896.4</v>
      </c>
      <c r="S26" s="125">
        <v>6726.4</v>
      </c>
      <c r="T26" s="125">
        <v>7273</v>
      </c>
      <c r="U26" s="125">
        <v>6522.2</v>
      </c>
      <c r="V26" s="125">
        <v>5304.6</v>
      </c>
      <c r="W26" s="125">
        <v>4044.5</v>
      </c>
      <c r="X26" s="125">
        <v>3070</v>
      </c>
      <c r="Y26" s="125">
        <v>3262.5</v>
      </c>
      <c r="Z26" s="125">
        <v>3650.8</v>
      </c>
      <c r="AA26" s="125">
        <v>3700.5</v>
      </c>
      <c r="AB26" s="125">
        <v>3502.3</v>
      </c>
      <c r="AC26" s="125">
        <v>3169</v>
      </c>
      <c r="AD26" s="125">
        <v>2918.2</v>
      </c>
      <c r="AE26" s="125">
        <v>2734.7</v>
      </c>
      <c r="AF26" s="125">
        <v>4613.6000000000004</v>
      </c>
      <c r="AG26" s="125">
        <v>5478.5</v>
      </c>
      <c r="AH26" s="125">
        <v>5852</v>
      </c>
      <c r="AI26" s="125">
        <v>6793.3</v>
      </c>
      <c r="AJ26" s="125">
        <v>6151.9</v>
      </c>
      <c r="AK26" s="125">
        <v>5219.3997862566202</v>
      </c>
      <c r="AL26" s="125">
        <v>4422.2300899183965</v>
      </c>
      <c r="AM26" s="125">
        <v>3287.9718028252746</v>
      </c>
      <c r="AN26" s="125">
        <v>1903.882365052692</v>
      </c>
      <c r="AO26" s="125">
        <v>1597.9287302885775</v>
      </c>
      <c r="AP26" s="125">
        <v>1452.6706368942364</v>
      </c>
      <c r="AQ26" s="125">
        <v>1286.1976681304557</v>
      </c>
      <c r="AR26" s="125">
        <v>1318.3223967461231</v>
      </c>
      <c r="AS26" s="125">
        <v>1214.0836834656952</v>
      </c>
      <c r="AT26" s="125">
        <v>1207.7721853924609</v>
      </c>
      <c r="AU26" s="125">
        <v>1401.1959192138274</v>
      </c>
      <c r="AV26" s="125">
        <v>1374.3613531620526</v>
      </c>
      <c r="AW26" s="125">
        <v>1603.6018818629514</v>
      </c>
      <c r="AX26" s="125">
        <v>2025.0135700469614</v>
      </c>
      <c r="AY26" s="125">
        <v>2196.3812565004146</v>
      </c>
      <c r="AZ26" s="125">
        <v>2142.9202771046789</v>
      </c>
      <c r="BA26" s="125">
        <v>2239.2817506955266</v>
      </c>
      <c r="BB26" s="124">
        <v>2151.4965830614669</v>
      </c>
      <c r="BC26" s="124">
        <v>2020.5602719094857</v>
      </c>
      <c r="BD26" s="124">
        <v>2134.6478770843323</v>
      </c>
      <c r="BE26" s="124">
        <v>2037.7115388639854</v>
      </c>
      <c r="BF26" s="124">
        <v>2333.7670329436442</v>
      </c>
      <c r="BG26" s="124">
        <v>2272.5860592060612</v>
      </c>
      <c r="BH26" s="124">
        <v>2661.2019477105318</v>
      </c>
      <c r="BI26" s="124">
        <v>3337.3103978123254</v>
      </c>
      <c r="BJ26" s="124">
        <v>2894.0239616042018</v>
      </c>
      <c r="BK26" s="124">
        <v>2920.7365517021026</v>
      </c>
      <c r="BL26" s="124">
        <v>2434.4252674818308</v>
      </c>
      <c r="BM26" s="124">
        <v>1848.7006684905416</v>
      </c>
      <c r="BN26" s="124">
        <v>1977.8793288501677</v>
      </c>
      <c r="BO26" s="124">
        <v>2060.5188015849626</v>
      </c>
      <c r="BP26" s="124">
        <v>2512.8156213104776</v>
      </c>
      <c r="BQ26" s="124">
        <v>2463.1249428546053</v>
      </c>
    </row>
    <row r="27" spans="1:69" ht="6.75" customHeight="1" x14ac:dyDescent="0.35">
      <c r="A27" s="122"/>
      <c r="B27" s="131"/>
      <c r="C27" s="122"/>
      <c r="D27" s="122"/>
      <c r="E27" s="122"/>
      <c r="F27" s="122"/>
      <c r="G27" s="122"/>
      <c r="H27" s="122"/>
      <c r="I27" s="122"/>
      <c r="J27" s="129"/>
      <c r="K27" s="129"/>
      <c r="L27" s="128"/>
      <c r="M27" s="129"/>
      <c r="N27" s="129"/>
      <c r="O27" s="129"/>
      <c r="P27" s="129"/>
      <c r="Q27" s="129"/>
      <c r="R27" s="129"/>
      <c r="S27" s="129"/>
      <c r="T27" s="129"/>
      <c r="U27" s="129"/>
      <c r="V27" s="129"/>
      <c r="W27" s="129"/>
      <c r="X27" s="129"/>
      <c r="Y27" s="103"/>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c r="BM27" s="128"/>
      <c r="BN27" s="128"/>
      <c r="BO27" s="128"/>
      <c r="BP27" s="128"/>
      <c r="BQ27" s="128"/>
    </row>
    <row r="28" spans="1:69" ht="14" x14ac:dyDescent="0.3">
      <c r="A28" s="122" t="s">
        <v>998</v>
      </c>
      <c r="B28" s="135">
        <v>1152</v>
      </c>
      <c r="C28" s="122">
        <v>455</v>
      </c>
      <c r="D28" s="130">
        <v>572.20000000000005</v>
      </c>
      <c r="E28" s="130">
        <v>477.9</v>
      </c>
      <c r="F28" s="130">
        <v>591.4</v>
      </c>
      <c r="G28" s="130">
        <v>665.6</v>
      </c>
      <c r="H28" s="130">
        <v>1004</v>
      </c>
      <c r="I28" s="130">
        <v>907</v>
      </c>
      <c r="J28" s="130">
        <v>559</v>
      </c>
      <c r="K28" s="130">
        <v>3732</v>
      </c>
      <c r="L28" s="130">
        <v>3401</v>
      </c>
      <c r="M28" s="130">
        <v>4172</v>
      </c>
      <c r="N28" s="130">
        <v>4006</v>
      </c>
      <c r="O28" s="130">
        <v>3764</v>
      </c>
      <c r="P28" s="130">
        <v>4048</v>
      </c>
      <c r="Q28" s="130">
        <v>4541</v>
      </c>
      <c r="R28" s="130">
        <v>5880</v>
      </c>
      <c r="S28" s="130">
        <v>6712</v>
      </c>
      <c r="T28" s="130">
        <v>7259</v>
      </c>
      <c r="U28" s="130">
        <v>6520.7</v>
      </c>
      <c r="V28" s="130">
        <v>5304.6</v>
      </c>
      <c r="W28" s="130">
        <v>4044.5</v>
      </c>
      <c r="X28" s="130">
        <v>3070</v>
      </c>
      <c r="Y28" s="130">
        <v>3262.5</v>
      </c>
      <c r="Z28" s="130">
        <v>3650.8</v>
      </c>
      <c r="AA28" s="130">
        <v>3700.5</v>
      </c>
      <c r="AB28" s="130">
        <v>3502.3</v>
      </c>
      <c r="AC28" s="130">
        <v>3169</v>
      </c>
      <c r="AD28" s="130">
        <v>2918.2</v>
      </c>
      <c r="AE28" s="130">
        <v>2734.7</v>
      </c>
      <c r="AF28" s="130">
        <v>4613.6000000000004</v>
      </c>
      <c r="AG28" s="130">
        <v>5416.2</v>
      </c>
      <c r="AH28" s="130">
        <v>5728</v>
      </c>
      <c r="AI28" s="130">
        <v>6609</v>
      </c>
      <c r="AJ28" s="130">
        <v>5899</v>
      </c>
      <c r="AK28" s="130">
        <v>4959.0454158941202</v>
      </c>
      <c r="AL28" s="130">
        <v>4156.9251113924875</v>
      </c>
      <c r="AM28" s="130">
        <v>3012.1709981172808</v>
      </c>
      <c r="AN28" s="130">
        <v>1627.4458194229896</v>
      </c>
      <c r="AO28" s="130">
        <v>1324.4708775213753</v>
      </c>
      <c r="AP28" s="130">
        <v>1177.9793578754206</v>
      </c>
      <c r="AQ28" s="130">
        <v>1015.5125708849582</v>
      </c>
      <c r="AR28" s="130">
        <v>1049.0091513792493</v>
      </c>
      <c r="AS28" s="130">
        <v>946.13693102382251</v>
      </c>
      <c r="AT28" s="130">
        <v>932.26546417344366</v>
      </c>
      <c r="AU28" s="130">
        <v>1114.1086234739719</v>
      </c>
      <c r="AV28" s="130">
        <v>1071.2498253401668</v>
      </c>
      <c r="AW28" s="130">
        <v>1275.5387815232023</v>
      </c>
      <c r="AX28" s="130">
        <v>1711.17417114096</v>
      </c>
      <c r="AY28" s="130">
        <v>1901.1701197027328</v>
      </c>
      <c r="AZ28" s="130">
        <v>1860.4420008933298</v>
      </c>
      <c r="BA28" s="130">
        <v>1964.4653730272148</v>
      </c>
      <c r="BB28" s="132">
        <v>1857.973436985224</v>
      </c>
      <c r="BC28" s="132">
        <v>1711.8570755485919</v>
      </c>
      <c r="BD28" s="132">
        <v>1818.7358976083001</v>
      </c>
      <c r="BE28" s="134">
        <v>1717.1103168843008</v>
      </c>
      <c r="BF28" s="134">
        <v>1998.0988511616445</v>
      </c>
      <c r="BG28" s="134">
        <v>1908.8038899316443</v>
      </c>
      <c r="BH28" s="134">
        <v>2265.2850239001441</v>
      </c>
      <c r="BI28" s="134">
        <v>2915.8132026079275</v>
      </c>
      <c r="BJ28" s="134">
        <v>2457.6171536809038</v>
      </c>
      <c r="BK28" s="132">
        <v>2477.7019073909037</v>
      </c>
      <c r="BL28" s="132">
        <v>1989.0351950452332</v>
      </c>
      <c r="BM28" s="132">
        <v>1375.767416817449</v>
      </c>
      <c r="BN28" s="132">
        <v>1477.1186626175063</v>
      </c>
      <c r="BO28" s="132">
        <v>1534.1940775041653</v>
      </c>
      <c r="BP28" s="132">
        <v>1963.1292339301322</v>
      </c>
      <c r="BQ28" s="132">
        <v>1921.5103255401323</v>
      </c>
    </row>
    <row r="29" spans="1:69" ht="7" customHeight="1" x14ac:dyDescent="0.35">
      <c r="A29" s="122"/>
      <c r="B29" s="131"/>
      <c r="C29" s="122"/>
      <c r="D29" s="130"/>
      <c r="E29" s="130"/>
      <c r="F29" s="130"/>
      <c r="G29" s="130"/>
      <c r="H29" s="130"/>
      <c r="I29" s="130"/>
      <c r="J29" s="129"/>
      <c r="K29" s="129"/>
      <c r="L29" s="128"/>
      <c r="M29" s="129"/>
      <c r="N29" s="129"/>
      <c r="O29" s="129"/>
      <c r="P29" s="129"/>
      <c r="Q29" s="129"/>
      <c r="R29" s="129"/>
      <c r="S29" s="129"/>
      <c r="T29" s="129"/>
      <c r="U29" s="129"/>
      <c r="V29" s="129"/>
      <c r="W29" s="129"/>
      <c r="X29" s="129"/>
      <c r="Y29" s="103"/>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128"/>
      <c r="BC29" s="128"/>
      <c r="BD29" s="128"/>
      <c r="BE29" s="128"/>
      <c r="BF29" s="128"/>
      <c r="BG29" s="128"/>
      <c r="BH29" s="128"/>
      <c r="BI29" s="128"/>
      <c r="BJ29" s="128"/>
      <c r="BK29" s="128"/>
      <c r="BL29" s="128"/>
      <c r="BM29" s="128"/>
      <c r="BN29" s="128"/>
      <c r="BO29" s="128"/>
      <c r="BP29" s="128"/>
      <c r="BQ29" s="128"/>
    </row>
    <row r="30" spans="1:69" ht="14" x14ac:dyDescent="0.3">
      <c r="A30" s="122" t="s">
        <v>216</v>
      </c>
      <c r="B30" s="131">
        <v>18</v>
      </c>
      <c r="C30" s="122">
        <v>30</v>
      </c>
      <c r="D30" s="130">
        <v>45.5</v>
      </c>
      <c r="E30" s="130">
        <v>17.399999999999999</v>
      </c>
      <c r="F30" s="130">
        <v>6.3</v>
      </c>
      <c r="G30" s="130">
        <v>17.100000000000001</v>
      </c>
      <c r="H30" s="130">
        <v>8</v>
      </c>
      <c r="I30" s="130">
        <v>13</v>
      </c>
      <c r="J30" s="130">
        <v>10</v>
      </c>
      <c r="K30" s="130">
        <v>59</v>
      </c>
      <c r="L30" s="130">
        <v>90</v>
      </c>
      <c r="M30" s="130">
        <v>167</v>
      </c>
      <c r="N30" s="130">
        <v>185</v>
      </c>
      <c r="O30" s="130">
        <v>182</v>
      </c>
      <c r="P30" s="130">
        <v>164</v>
      </c>
      <c r="Q30" s="130">
        <v>78.400000000000006</v>
      </c>
      <c r="R30" s="130">
        <v>16.399999999999999</v>
      </c>
      <c r="S30" s="130">
        <v>14.4</v>
      </c>
      <c r="T30" s="130">
        <v>14</v>
      </c>
      <c r="U30" s="130">
        <v>1.5</v>
      </c>
      <c r="V30" s="133">
        <v>0</v>
      </c>
      <c r="W30" s="133">
        <v>0</v>
      </c>
      <c r="X30" s="133">
        <v>0</v>
      </c>
      <c r="Y30" s="133">
        <v>0</v>
      </c>
      <c r="Z30" s="133">
        <v>0</v>
      </c>
      <c r="AA30" s="133">
        <v>0</v>
      </c>
      <c r="AB30" s="133">
        <v>0</v>
      </c>
      <c r="AC30" s="133">
        <v>0</v>
      </c>
      <c r="AD30" s="133">
        <v>0</v>
      </c>
      <c r="AE30" s="133">
        <v>0</v>
      </c>
      <c r="AF30" s="133">
        <v>0</v>
      </c>
      <c r="AG30" s="129">
        <v>62.3</v>
      </c>
      <c r="AH30" s="129">
        <v>124</v>
      </c>
      <c r="AI30" s="129">
        <v>184.3</v>
      </c>
      <c r="AJ30" s="129">
        <v>252.9</v>
      </c>
      <c r="AK30" s="130">
        <v>260.35437036249999</v>
      </c>
      <c r="AL30" s="130">
        <v>265.30497852590912</v>
      </c>
      <c r="AM30" s="130">
        <v>275.80080470799396</v>
      </c>
      <c r="AN30" s="130">
        <v>276.43654562970221</v>
      </c>
      <c r="AO30" s="130">
        <v>273.45785276720221</v>
      </c>
      <c r="AP30" s="130">
        <v>274.69127901881575</v>
      </c>
      <c r="AQ30" s="130">
        <v>270.68509724549745</v>
      </c>
      <c r="AR30" s="130">
        <v>269.31324536687396</v>
      </c>
      <c r="AS30" s="130">
        <v>267.94675244187283</v>
      </c>
      <c r="AT30" s="130">
        <v>275.50672121901732</v>
      </c>
      <c r="AU30" s="130">
        <v>287.08729573985568</v>
      </c>
      <c r="AV30" s="130">
        <v>303.11152782188594</v>
      </c>
      <c r="AW30" s="130">
        <v>328.06310033974898</v>
      </c>
      <c r="AX30" s="130">
        <v>313.83939890600141</v>
      </c>
      <c r="AY30" s="130">
        <v>295.21113679768183</v>
      </c>
      <c r="AZ30" s="130">
        <v>282.478276211349</v>
      </c>
      <c r="BA30" s="130">
        <v>274.81637766831199</v>
      </c>
      <c r="BB30" s="132">
        <v>293.52314607624282</v>
      </c>
      <c r="BC30" s="132">
        <v>308.70319636089374</v>
      </c>
      <c r="BD30" s="132">
        <v>315.91197947603223</v>
      </c>
      <c r="BE30" s="132">
        <v>320.60122197968462</v>
      </c>
      <c r="BF30" s="132">
        <v>335.66818178199969</v>
      </c>
      <c r="BG30" s="132">
        <v>363.78216927441702</v>
      </c>
      <c r="BH30" s="132">
        <v>395.91692381038791</v>
      </c>
      <c r="BI30" s="132">
        <v>421.49719520439817</v>
      </c>
      <c r="BJ30" s="132">
        <v>436.40680792329806</v>
      </c>
      <c r="BK30" s="132">
        <v>443.03464431119914</v>
      </c>
      <c r="BL30" s="132">
        <v>445.39007243659773</v>
      </c>
      <c r="BM30" s="132">
        <v>472.93325167309263</v>
      </c>
      <c r="BN30" s="132">
        <v>500.76066623266144</v>
      </c>
      <c r="BO30" s="132">
        <v>526.32472408079707</v>
      </c>
      <c r="BP30" s="132">
        <v>549.68638738034542</v>
      </c>
      <c r="BQ30" s="132">
        <v>541.61461731447321</v>
      </c>
    </row>
    <row r="31" spans="1:69" ht="6.75" customHeight="1" x14ac:dyDescent="0.35">
      <c r="A31" s="122"/>
      <c r="B31" s="131"/>
      <c r="C31" s="122"/>
      <c r="D31" s="130"/>
      <c r="E31" s="130"/>
      <c r="F31" s="130"/>
      <c r="G31" s="130"/>
      <c r="H31" s="130"/>
      <c r="I31" s="130"/>
      <c r="J31" s="129"/>
      <c r="K31" s="129"/>
      <c r="L31" s="128"/>
      <c r="M31" s="129"/>
      <c r="N31" s="129"/>
      <c r="O31" s="129"/>
      <c r="P31" s="129"/>
      <c r="Q31" s="129"/>
      <c r="R31" s="129"/>
      <c r="S31" s="129"/>
      <c r="T31" s="129"/>
      <c r="U31" s="129"/>
      <c r="V31" s="129"/>
      <c r="W31" s="129"/>
      <c r="X31" s="129"/>
      <c r="Y31" s="103"/>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c r="BM31" s="128"/>
      <c r="BN31" s="128"/>
      <c r="BO31" s="128"/>
      <c r="BP31" s="128"/>
      <c r="BQ31" s="128"/>
    </row>
    <row r="32" spans="1:69" ht="14" x14ac:dyDescent="0.3">
      <c r="A32" s="127" t="s">
        <v>215</v>
      </c>
      <c r="B32" s="126">
        <v>7052</v>
      </c>
      <c r="C32" s="125">
        <v>6973</v>
      </c>
      <c r="D32" s="125">
        <v>5967.4</v>
      </c>
      <c r="E32" s="125">
        <v>6737.7</v>
      </c>
      <c r="F32" s="125">
        <v>9860.9000000000015</v>
      </c>
      <c r="G32" s="125">
        <v>9363.6</v>
      </c>
      <c r="H32" s="125">
        <v>5695.9</v>
      </c>
      <c r="I32" s="125">
        <v>4212</v>
      </c>
      <c r="J32" s="125">
        <v>2099.5</v>
      </c>
      <c r="K32" s="125">
        <v>6670.3</v>
      </c>
      <c r="L32" s="125">
        <v>6183.8</v>
      </c>
      <c r="M32" s="125">
        <v>7191</v>
      </c>
      <c r="N32" s="125">
        <v>6914</v>
      </c>
      <c r="O32" s="125">
        <v>6761</v>
      </c>
      <c r="P32" s="125">
        <v>6896</v>
      </c>
      <c r="Q32" s="125">
        <v>7443.4</v>
      </c>
      <c r="R32" s="125">
        <v>8507.4</v>
      </c>
      <c r="S32" s="125">
        <v>9465.4</v>
      </c>
      <c r="T32" s="125">
        <v>9847</v>
      </c>
      <c r="U32" s="125">
        <v>9472.2000000000007</v>
      </c>
      <c r="V32" s="125">
        <v>8316.6</v>
      </c>
      <c r="W32" s="125">
        <v>7319.5</v>
      </c>
      <c r="X32" s="125">
        <v>7277</v>
      </c>
      <c r="Y32" s="125">
        <v>7656.5</v>
      </c>
      <c r="Z32" s="125">
        <v>8126.8</v>
      </c>
      <c r="AA32" s="125">
        <v>8769.5</v>
      </c>
      <c r="AB32" s="125">
        <v>7699.3</v>
      </c>
      <c r="AC32" s="125">
        <v>8028</v>
      </c>
      <c r="AD32" s="125">
        <v>7787.2</v>
      </c>
      <c r="AE32" s="125">
        <v>7163.7</v>
      </c>
      <c r="AF32" s="125">
        <v>9587.6</v>
      </c>
      <c r="AG32" s="125">
        <v>14662.5</v>
      </c>
      <c r="AH32" s="125">
        <v>15040</v>
      </c>
      <c r="AI32" s="125">
        <v>16742.3</v>
      </c>
      <c r="AJ32" s="125">
        <v>15502.3</v>
      </c>
      <c r="AK32" s="125">
        <v>10530.399786256621</v>
      </c>
      <c r="AL32" s="125">
        <v>9739.2300899183974</v>
      </c>
      <c r="AM32" s="125">
        <v>9111.9718028252755</v>
      </c>
      <c r="AN32" s="125">
        <v>7738.882365052692</v>
      </c>
      <c r="AO32" s="125">
        <v>7934.9287302885778</v>
      </c>
      <c r="AP32" s="125">
        <v>7868.6706368942359</v>
      </c>
      <c r="AQ32" s="125">
        <v>7825.1976681304559</v>
      </c>
      <c r="AR32" s="125">
        <v>7995.3223967461236</v>
      </c>
      <c r="AS32" s="125">
        <v>14706.083683465695</v>
      </c>
      <c r="AT32" s="125">
        <v>14817.772185392461</v>
      </c>
      <c r="AU32" s="125">
        <v>15063.195919213827</v>
      </c>
      <c r="AV32" s="125">
        <v>15278.361353162052</v>
      </c>
      <c r="AW32" s="125">
        <v>9101.6018818629509</v>
      </c>
      <c r="AX32" s="125">
        <v>9532.0135700469618</v>
      </c>
      <c r="AY32" s="125">
        <v>9711.3812565004155</v>
      </c>
      <c r="AZ32" s="125">
        <v>9982.9202771046785</v>
      </c>
      <c r="BA32" s="125">
        <v>9429.2817506955271</v>
      </c>
      <c r="BB32" s="124">
        <v>9391.4965830614674</v>
      </c>
      <c r="BC32" s="124">
        <v>9290.5602719094859</v>
      </c>
      <c r="BD32" s="124">
        <v>9009.6478770843314</v>
      </c>
      <c r="BE32" s="124">
        <v>9155.711538863985</v>
      </c>
      <c r="BF32" s="124">
        <v>21104.767032943644</v>
      </c>
      <c r="BG32" s="124">
        <v>21501.58605920606</v>
      </c>
      <c r="BH32" s="124">
        <v>22286.201947710531</v>
      </c>
      <c r="BI32" s="124">
        <v>22579.310397812325</v>
      </c>
      <c r="BJ32" s="124">
        <v>11077.023961604202</v>
      </c>
      <c r="BK32" s="124">
        <v>10424.736551702103</v>
      </c>
      <c r="BL32" s="124">
        <v>10364.335267481831</v>
      </c>
      <c r="BM32" s="124">
        <v>10486.700668490541</v>
      </c>
      <c r="BN32" s="124">
        <v>10605.759328850168</v>
      </c>
      <c r="BO32" s="124">
        <v>10607.518801584964</v>
      </c>
      <c r="BP32" s="124">
        <v>11195.815621310478</v>
      </c>
      <c r="BQ32" s="124">
        <v>10748.434942854605</v>
      </c>
    </row>
    <row r="33" spans="1:69" ht="7.5" customHeight="1" x14ac:dyDescent="0.3">
      <c r="A33" s="122"/>
      <c r="B33" s="123"/>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1"/>
      <c r="BC33" s="121"/>
      <c r="BD33" s="121"/>
      <c r="BE33" s="121"/>
      <c r="BF33" s="121"/>
      <c r="BG33" s="121"/>
      <c r="BH33" s="121"/>
      <c r="BI33" s="121"/>
      <c r="BJ33" s="121"/>
      <c r="BK33" s="121"/>
      <c r="BL33" s="121"/>
      <c r="BM33" s="121"/>
      <c r="BN33" s="121"/>
      <c r="BO33" s="121"/>
      <c r="BP33" s="121"/>
      <c r="BQ33" s="121"/>
    </row>
    <row r="34" spans="1:69" ht="16" x14ac:dyDescent="0.35">
      <c r="A34" s="120" t="s">
        <v>748</v>
      </c>
      <c r="B34" s="119">
        <v>7.6975980740299585E-2</v>
      </c>
      <c r="C34" s="119">
        <v>7.8382363280780437E-2</v>
      </c>
      <c r="D34" s="119">
        <v>6.3368590931263041E-2</v>
      </c>
      <c r="E34" s="119">
        <v>6.4462153794553653E-2</v>
      </c>
      <c r="F34" s="119">
        <v>8.1911367695310891E-2</v>
      </c>
      <c r="G34" s="119">
        <v>6.848641769429939E-2</v>
      </c>
      <c r="H34" s="119">
        <v>3.9222018702400462E-2</v>
      </c>
      <c r="I34" s="119">
        <v>2.9650070042306961E-2</v>
      </c>
      <c r="J34" s="119">
        <v>2.8730756072528226E-2</v>
      </c>
      <c r="K34" s="119">
        <v>4.2273006698734406E-2</v>
      </c>
      <c r="L34" s="119">
        <v>3.566102476860529E-2</v>
      </c>
      <c r="M34" s="119">
        <v>4.0455468604958619E-2</v>
      </c>
      <c r="N34" s="119">
        <v>3.7091677709049746E-2</v>
      </c>
      <c r="O34" s="119">
        <v>3.6420933552401218E-2</v>
      </c>
      <c r="P34" s="119">
        <v>3.6560667592700588E-2</v>
      </c>
      <c r="Q34" s="119">
        <v>3.6798142066754608E-2</v>
      </c>
      <c r="R34" s="119">
        <v>3.9978854431665045E-2</v>
      </c>
      <c r="S34" s="119">
        <v>4.1549035966510155E-2</v>
      </c>
      <c r="T34" s="119">
        <v>4.0154795984112618E-2</v>
      </c>
      <c r="U34" s="119">
        <v>3.882860761880557E-2</v>
      </c>
      <c r="V34" s="119">
        <v>3.3034497825266629E-2</v>
      </c>
      <c r="W34" s="119">
        <v>2.8107707490908532E-2</v>
      </c>
      <c r="X34" s="119">
        <v>2.7711770171670549E-2</v>
      </c>
      <c r="Y34" s="119">
        <v>2.8575214038859157E-2</v>
      </c>
      <c r="Z34" s="119">
        <v>2.9895636755579592E-2</v>
      </c>
      <c r="AA34" s="119">
        <v>3.2059413831300107E-2</v>
      </c>
      <c r="AB34" s="119">
        <v>2.796846904117551E-2</v>
      </c>
      <c r="AC34" s="119">
        <v>2.9065157653499006E-2</v>
      </c>
      <c r="AD34" s="119">
        <v>2.8278734661713385E-2</v>
      </c>
      <c r="AE34" s="119">
        <v>2.600877161134791E-2</v>
      </c>
      <c r="AF34" s="119">
        <v>3.4636157061367225E-2</v>
      </c>
      <c r="AG34" s="119">
        <v>5.2044880168105406E-2</v>
      </c>
      <c r="AH34" s="119">
        <v>5.3311403819705366E-2</v>
      </c>
      <c r="AI34" s="119">
        <v>5.8820243469706816E-2</v>
      </c>
      <c r="AJ34" s="119">
        <v>5.3611309962270148E-2</v>
      </c>
      <c r="AK34" s="119">
        <v>3.5923501832802136E-2</v>
      </c>
      <c r="AL34" s="119">
        <v>3.3268874370756596E-2</v>
      </c>
      <c r="AM34" s="119">
        <v>3.1095908250492361E-2</v>
      </c>
      <c r="AN34" s="119">
        <v>2.6032826163918447E-2</v>
      </c>
      <c r="AO34" s="119">
        <v>2.6476150330791613E-2</v>
      </c>
      <c r="AP34" s="119">
        <v>2.5775426453574238E-2</v>
      </c>
      <c r="AQ34" s="119">
        <v>2.5247785569054437E-2</v>
      </c>
      <c r="AR34" s="119">
        <v>2.5502769934885629E-2</v>
      </c>
      <c r="AS34" s="119">
        <v>4.7711705891306744E-2</v>
      </c>
      <c r="AT34" s="119">
        <v>5.1998751369971161E-2</v>
      </c>
      <c r="AU34" s="119">
        <v>5.5248790246636911E-2</v>
      </c>
      <c r="AV34" s="119">
        <v>6.0642134741437752E-2</v>
      </c>
      <c r="AW34" s="119">
        <v>3.8040633126569218E-2</v>
      </c>
      <c r="AX34" s="119">
        <v>3.7731869648874664E-2</v>
      </c>
      <c r="AY34" s="119">
        <v>3.6473575466278628E-2</v>
      </c>
      <c r="AZ34" s="119">
        <v>3.3903963284070401E-2</v>
      </c>
      <c r="BA34" s="119">
        <v>2.9719679994879906E-2</v>
      </c>
      <c r="BB34" s="118">
        <v>2.7227016791844989E-2</v>
      </c>
      <c r="BC34" s="118">
        <v>2.5468103116048284E-2</v>
      </c>
      <c r="BD34" s="118">
        <v>2.3516639461169487E-2</v>
      </c>
      <c r="BE34" s="118">
        <v>2.2563017612483451E-2</v>
      </c>
      <c r="BF34" s="118">
        <v>5.0545255406506756E-2</v>
      </c>
      <c r="BG34" s="118">
        <v>5.003266091109982E-2</v>
      </c>
      <c r="BH34" s="118">
        <v>5.0673607597358179E-2</v>
      </c>
      <c r="BI34" s="118">
        <v>5.0633976475813185E-2</v>
      </c>
      <c r="BJ34" s="118">
        <v>2.4165908104744602E-2</v>
      </c>
      <c r="BK34" s="118">
        <v>2.2512906757934468E-2</v>
      </c>
      <c r="BL34" s="118">
        <v>2.2274043685890761E-2</v>
      </c>
      <c r="BM34" s="118">
        <v>2.2724998794027104E-2</v>
      </c>
      <c r="BN34" s="118">
        <v>2.2912348080404956E-2</v>
      </c>
      <c r="BO34" s="118">
        <v>2.244725734803284E-2</v>
      </c>
      <c r="BP34" s="118">
        <v>2.3162622288102744E-2</v>
      </c>
      <c r="BQ34" s="118">
        <v>2.1564150033814712E-2</v>
      </c>
    </row>
    <row r="35" spans="1:69" ht="9.75" customHeight="1" x14ac:dyDescent="0.3">
      <c r="A35" s="115"/>
      <c r="B35" s="117"/>
      <c r="C35" s="115"/>
      <c r="D35" s="115"/>
      <c r="E35" s="115"/>
      <c r="F35" s="115"/>
      <c r="G35" s="115"/>
      <c r="H35" s="115"/>
      <c r="I35" s="115"/>
      <c r="J35" s="115"/>
      <c r="K35" s="115"/>
      <c r="L35" s="116"/>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4"/>
      <c r="BC35" s="114"/>
      <c r="BD35" s="114"/>
      <c r="BE35" s="114"/>
      <c r="BF35" s="114"/>
      <c r="BG35" s="114"/>
      <c r="BH35" s="114"/>
      <c r="BI35" s="114"/>
      <c r="BJ35" s="114"/>
      <c r="BK35" s="114"/>
      <c r="BL35" s="114"/>
      <c r="BM35" s="114"/>
      <c r="BN35" s="114"/>
      <c r="BO35" s="114"/>
      <c r="BP35" s="114"/>
      <c r="BQ35" s="114"/>
    </row>
    <row r="36" spans="1:69" ht="5.25" customHeight="1" x14ac:dyDescent="0.35">
      <c r="A36" s="110"/>
      <c r="B36" s="110"/>
      <c r="C36" s="110"/>
      <c r="D36" s="110"/>
      <c r="E36" s="110"/>
      <c r="F36" s="110"/>
      <c r="G36" s="110"/>
      <c r="H36" s="110"/>
      <c r="I36" s="110"/>
      <c r="J36" s="110"/>
      <c r="K36" s="110"/>
      <c r="Q36" s="113"/>
      <c r="R36" s="113"/>
      <c r="S36" s="113"/>
      <c r="T36" s="113"/>
      <c r="U36" s="113"/>
      <c r="V36" s="113"/>
      <c r="W36" s="113"/>
      <c r="X36" s="113"/>
      <c r="Y36" s="112"/>
      <c r="Z36" s="112"/>
      <c r="AA36" s="112"/>
    </row>
    <row r="37" spans="1:69" ht="12.75" customHeight="1" x14ac:dyDescent="0.3">
      <c r="A37" s="1240" t="s">
        <v>214</v>
      </c>
      <c r="B37" s="1240"/>
      <c r="C37" s="1240"/>
      <c r="D37" s="1240"/>
      <c r="E37" s="1240"/>
      <c r="F37" s="1240"/>
      <c r="G37" s="1240"/>
      <c r="H37" s="1240"/>
      <c r="I37" s="1240"/>
      <c r="J37" s="1240"/>
      <c r="K37" s="1240"/>
      <c r="L37" s="1240"/>
      <c r="M37" s="1240"/>
      <c r="N37" s="1240"/>
      <c r="O37" s="1240"/>
      <c r="P37" s="1240"/>
      <c r="Q37" s="1240"/>
      <c r="R37" s="1240"/>
      <c r="S37" s="1240"/>
      <c r="T37" s="1240"/>
      <c r="U37" s="1240"/>
      <c r="V37" s="1240"/>
      <c r="W37" s="1240"/>
      <c r="X37" s="1240"/>
      <c r="Y37" s="1240"/>
      <c r="Z37" s="1240"/>
      <c r="AA37" s="1240"/>
      <c r="AB37" s="1240"/>
      <c r="AC37" s="1240"/>
      <c r="AD37" s="1240"/>
      <c r="AE37" s="1240"/>
      <c r="AF37" s="1240"/>
      <c r="AG37" s="1240"/>
      <c r="AH37" s="1240"/>
      <c r="AI37" s="1240"/>
      <c r="AJ37" s="1240"/>
      <c r="AK37" s="1240"/>
      <c r="AL37" s="1240"/>
      <c r="AM37" s="1240"/>
      <c r="AN37" s="1240"/>
      <c r="AO37" s="1240"/>
      <c r="AP37" s="1240"/>
      <c r="AQ37" s="1240"/>
      <c r="AR37" s="1240"/>
      <c r="AS37" s="1240"/>
      <c r="AT37" s="1240"/>
      <c r="AU37" s="1240"/>
      <c r="AV37" s="1240"/>
      <c r="AW37" s="1240"/>
      <c r="AX37" s="1240"/>
      <c r="AY37" s="1240"/>
      <c r="AZ37" s="1240"/>
      <c r="BA37" s="1240"/>
      <c r="BB37" s="1240"/>
      <c r="BC37" s="1240"/>
      <c r="BD37" s="1240"/>
      <c r="BE37" s="1240"/>
      <c r="BF37" s="1240"/>
      <c r="BG37" s="1240"/>
      <c r="BH37" s="1240"/>
      <c r="BI37" s="1240"/>
      <c r="BJ37" s="1240"/>
      <c r="BK37" s="1240"/>
      <c r="BL37" s="1240"/>
      <c r="BM37" s="1240"/>
      <c r="BN37" s="1240"/>
      <c r="BO37" s="1240"/>
      <c r="BP37" s="1240"/>
      <c r="BQ37" s="1240"/>
    </row>
    <row r="38" spans="1:69" ht="31.25" hidden="1" customHeight="1" x14ac:dyDescent="0.3">
      <c r="A38" s="1241" t="s">
        <v>213</v>
      </c>
      <c r="B38" s="1241"/>
      <c r="C38" s="1241"/>
      <c r="D38" s="1241"/>
      <c r="E38" s="1241"/>
      <c r="F38" s="1241"/>
      <c r="G38" s="1241"/>
      <c r="H38" s="1241"/>
      <c r="I38" s="1241"/>
      <c r="J38" s="1241"/>
      <c r="K38" s="1241"/>
      <c r="L38" s="1241"/>
      <c r="M38" s="1241"/>
      <c r="N38" s="1241"/>
      <c r="O38" s="1241"/>
      <c r="P38" s="1241"/>
      <c r="Q38" s="1241"/>
      <c r="R38" s="1241"/>
      <c r="S38" s="1241"/>
      <c r="T38" s="1241"/>
      <c r="U38" s="1241"/>
      <c r="V38" s="1241"/>
      <c r="W38" s="1241"/>
      <c r="X38" s="1241"/>
      <c r="Y38" s="1241"/>
      <c r="Z38" s="1241"/>
      <c r="AA38" s="1241"/>
      <c r="AB38" s="1241"/>
      <c r="AC38" s="1241"/>
      <c r="AD38" s="1241"/>
      <c r="AE38" s="1241"/>
      <c r="AF38" s="1241"/>
      <c r="AG38" s="1241"/>
      <c r="AH38" s="1241"/>
      <c r="AI38" s="1241"/>
      <c r="AJ38" s="1241"/>
      <c r="AK38" s="1241"/>
      <c r="AL38" s="1241"/>
      <c r="AM38" s="1241"/>
      <c r="AN38" s="1241"/>
      <c r="AO38" s="1241"/>
      <c r="AP38" s="1241"/>
      <c r="AQ38" s="1241"/>
      <c r="AR38" s="1241"/>
      <c r="AS38" s="1241"/>
      <c r="AT38" s="1241"/>
      <c r="AU38" s="1241"/>
      <c r="AV38" s="1241"/>
      <c r="AW38" s="1241"/>
      <c r="AX38" s="1241"/>
      <c r="AY38" s="1241"/>
      <c r="AZ38" s="1241"/>
      <c r="BA38" s="1241"/>
      <c r="BB38" s="1241"/>
      <c r="BC38" s="1241"/>
      <c r="BD38" s="1241"/>
      <c r="BE38" s="1241"/>
      <c r="BF38" s="1241"/>
      <c r="BG38" s="1241"/>
      <c r="BH38" s="1241"/>
      <c r="BI38" s="1241"/>
      <c r="BJ38" s="1241"/>
      <c r="BK38" s="1241"/>
      <c r="BL38" s="1241"/>
      <c r="BM38" s="1241"/>
      <c r="BN38" s="980"/>
      <c r="BO38" s="980"/>
      <c r="BP38" s="980"/>
      <c r="BQ38" s="1046"/>
    </row>
    <row r="39" spans="1:69" ht="27.25" hidden="1" customHeight="1" x14ac:dyDescent="0.3">
      <c r="A39" s="1242" t="s">
        <v>212</v>
      </c>
      <c r="B39" s="1242"/>
      <c r="C39" s="1242"/>
      <c r="D39" s="1242"/>
      <c r="E39" s="1242"/>
      <c r="F39" s="1242"/>
      <c r="G39" s="1242"/>
      <c r="H39" s="1242"/>
      <c r="I39" s="1242"/>
      <c r="J39" s="1242"/>
      <c r="K39" s="1242"/>
      <c r="L39" s="1242"/>
      <c r="M39" s="1242"/>
      <c r="N39" s="1242"/>
      <c r="O39" s="1242"/>
      <c r="P39" s="1242"/>
      <c r="Q39" s="1242"/>
      <c r="R39" s="1242"/>
      <c r="S39" s="1242"/>
      <c r="T39" s="1242"/>
      <c r="U39" s="1242"/>
      <c r="V39" s="1242"/>
      <c r="W39" s="1242"/>
      <c r="X39" s="1242"/>
      <c r="Y39" s="1242"/>
      <c r="Z39" s="1242"/>
      <c r="AA39" s="1242"/>
      <c r="AB39" s="1242"/>
      <c r="AC39" s="1242"/>
      <c r="AD39" s="1242"/>
      <c r="AE39" s="1242"/>
      <c r="AF39" s="1242"/>
      <c r="AG39" s="1242"/>
      <c r="AH39" s="1242"/>
      <c r="AI39" s="1242"/>
      <c r="AJ39" s="1242"/>
      <c r="AK39" s="1242"/>
      <c r="AL39" s="1242"/>
      <c r="AM39" s="1242"/>
      <c r="AN39" s="1242"/>
      <c r="AO39" s="1242"/>
      <c r="AP39" s="1242"/>
      <c r="AQ39" s="1242"/>
      <c r="AR39" s="1242"/>
      <c r="AS39" s="1242"/>
      <c r="AT39" s="1242"/>
      <c r="AU39" s="1242"/>
      <c r="AV39" s="1242"/>
      <c r="AW39" s="1242"/>
      <c r="AX39" s="1242"/>
      <c r="AY39" s="1242"/>
      <c r="AZ39" s="1242"/>
      <c r="BA39" s="1242"/>
      <c r="BB39" s="1242"/>
      <c r="BC39" s="1242"/>
      <c r="BD39" s="1242"/>
      <c r="BE39" s="1242"/>
      <c r="BF39" s="1242"/>
      <c r="BG39" s="1242"/>
      <c r="BH39" s="1242"/>
      <c r="BI39" s="1242"/>
      <c r="BJ39" s="1242"/>
      <c r="BK39" s="1242"/>
      <c r="BL39" s="1242"/>
      <c r="BM39" s="1242"/>
      <c r="BN39" s="980"/>
      <c r="BO39" s="980"/>
      <c r="BP39" s="980"/>
      <c r="BQ39" s="1046"/>
    </row>
    <row r="40" spans="1:69" ht="32.5" hidden="1" customHeight="1" x14ac:dyDescent="0.3">
      <c r="A40" s="1241" t="s">
        <v>211</v>
      </c>
      <c r="B40" s="1241"/>
      <c r="C40" s="1241"/>
      <c r="D40" s="1241"/>
      <c r="E40" s="1241"/>
      <c r="F40" s="1241"/>
      <c r="G40" s="1241"/>
      <c r="H40" s="1241"/>
      <c r="I40" s="1241"/>
      <c r="J40" s="1241"/>
      <c r="K40" s="1241"/>
      <c r="L40" s="1241"/>
      <c r="M40" s="1241"/>
      <c r="N40" s="1241"/>
      <c r="O40" s="1241"/>
      <c r="P40" s="1241"/>
      <c r="Q40" s="1241"/>
      <c r="R40" s="1241"/>
      <c r="S40" s="1241"/>
      <c r="T40" s="1241"/>
      <c r="U40" s="1241"/>
      <c r="V40" s="1241"/>
      <c r="W40" s="1241"/>
      <c r="X40" s="1241"/>
      <c r="Y40" s="1241"/>
      <c r="Z40" s="1241"/>
      <c r="AA40" s="1241"/>
      <c r="AB40" s="1241"/>
      <c r="AC40" s="1241"/>
      <c r="AD40" s="1241"/>
      <c r="AE40" s="1241"/>
      <c r="AF40" s="1241"/>
      <c r="AG40" s="1241"/>
      <c r="AH40" s="1241"/>
      <c r="AI40" s="1241"/>
      <c r="AJ40" s="1241"/>
      <c r="AK40" s="1241"/>
      <c r="AL40" s="1241"/>
      <c r="AM40" s="1241"/>
      <c r="AN40" s="1241"/>
      <c r="AO40" s="1241"/>
      <c r="AP40" s="1241"/>
      <c r="AQ40" s="1241"/>
      <c r="AR40" s="1241"/>
      <c r="AS40" s="1241"/>
      <c r="AT40" s="1241"/>
      <c r="AU40" s="1241"/>
      <c r="AV40" s="1241"/>
      <c r="AW40" s="1241"/>
      <c r="AX40" s="1241"/>
      <c r="AY40" s="1241"/>
      <c r="AZ40" s="1241"/>
      <c r="BA40" s="1241"/>
      <c r="BB40" s="1241"/>
      <c r="BC40" s="1241"/>
      <c r="BD40" s="1241"/>
      <c r="BE40" s="1241"/>
      <c r="BF40" s="1241"/>
      <c r="BG40" s="1241"/>
      <c r="BH40" s="1241"/>
      <c r="BI40" s="1241"/>
      <c r="BJ40" s="1241"/>
      <c r="BK40" s="1241"/>
      <c r="BL40" s="1241"/>
      <c r="BM40" s="1241"/>
      <c r="BN40" s="980"/>
      <c r="BO40" s="980"/>
      <c r="BP40" s="980"/>
      <c r="BQ40" s="1046"/>
    </row>
    <row r="41" spans="1:69" ht="15.65" customHeight="1" x14ac:dyDescent="0.3">
      <c r="A41" s="1240" t="s">
        <v>210</v>
      </c>
      <c r="B41" s="1240"/>
      <c r="C41" s="1240"/>
      <c r="D41" s="1240"/>
      <c r="E41" s="1240"/>
      <c r="F41" s="1240"/>
      <c r="G41" s="1240"/>
      <c r="H41" s="1240"/>
      <c r="I41" s="1240"/>
      <c r="J41" s="1240"/>
      <c r="K41" s="1240"/>
      <c r="L41" s="1240"/>
      <c r="M41" s="1240"/>
      <c r="N41" s="1240"/>
      <c r="O41" s="1240"/>
      <c r="P41" s="1240"/>
      <c r="Q41" s="1240"/>
      <c r="R41" s="1240"/>
      <c r="S41" s="1240"/>
      <c r="T41" s="1240"/>
      <c r="U41" s="1240"/>
      <c r="V41" s="1240"/>
      <c r="W41" s="1240"/>
      <c r="X41" s="1240"/>
      <c r="Y41" s="1240"/>
      <c r="Z41" s="1240"/>
      <c r="AA41" s="1240"/>
      <c r="AB41" s="1240"/>
      <c r="AC41" s="1240"/>
      <c r="AD41" s="1240"/>
      <c r="AE41" s="1240"/>
      <c r="AF41" s="1240"/>
      <c r="AG41" s="1240"/>
      <c r="AH41" s="1240"/>
      <c r="AI41" s="1240"/>
      <c r="AJ41" s="1240"/>
      <c r="AK41" s="1240"/>
      <c r="AL41" s="1240"/>
      <c r="AM41" s="1240"/>
      <c r="AN41" s="1240"/>
      <c r="AO41" s="1240"/>
      <c r="AP41" s="1240"/>
      <c r="AQ41" s="1240"/>
      <c r="AR41" s="1240"/>
      <c r="AS41" s="1240"/>
      <c r="AT41" s="1240"/>
      <c r="AU41" s="1240"/>
      <c r="AV41" s="1240"/>
      <c r="AW41" s="1240"/>
      <c r="AX41" s="1240"/>
      <c r="AY41" s="1240"/>
      <c r="AZ41" s="1240"/>
      <c r="BA41" s="1240"/>
      <c r="BB41" s="1240"/>
      <c r="BC41" s="1240"/>
      <c r="BD41" s="1240"/>
      <c r="BE41" s="1240"/>
      <c r="BF41" s="1240"/>
      <c r="BG41" s="1240"/>
      <c r="BH41" s="1240"/>
      <c r="BI41" s="1240"/>
      <c r="BJ41" s="1240"/>
      <c r="BK41" s="1240"/>
      <c r="BL41" s="1240"/>
      <c r="BM41" s="1240"/>
      <c r="BN41" s="1240"/>
      <c r="BO41" s="1240"/>
      <c r="BP41" s="1240"/>
      <c r="BQ41" s="1240"/>
    </row>
    <row r="42" spans="1:69" s="883" customFormat="1" ht="27.25" customHeight="1" x14ac:dyDescent="0.3">
      <c r="A42" s="1243" t="s">
        <v>1013</v>
      </c>
      <c r="B42" s="1243"/>
      <c r="C42" s="1243"/>
      <c r="D42" s="1243"/>
      <c r="E42" s="1243"/>
      <c r="F42" s="1243"/>
      <c r="G42" s="1243"/>
      <c r="H42" s="1243"/>
      <c r="I42" s="1243"/>
      <c r="J42" s="1243"/>
      <c r="K42" s="1243"/>
      <c r="L42" s="1243"/>
      <c r="M42" s="1243"/>
      <c r="N42" s="1243"/>
      <c r="O42" s="1243"/>
      <c r="P42" s="1243"/>
      <c r="Q42" s="1243"/>
      <c r="R42" s="1243"/>
      <c r="S42" s="1243"/>
      <c r="T42" s="1243"/>
      <c r="U42" s="1243"/>
      <c r="V42" s="1243"/>
      <c r="W42" s="1243"/>
      <c r="X42" s="1243"/>
      <c r="Y42" s="1243"/>
      <c r="Z42" s="1243"/>
      <c r="AA42" s="1243"/>
      <c r="AB42" s="1243"/>
      <c r="AC42" s="1243"/>
      <c r="AD42" s="1243"/>
      <c r="AE42" s="1243"/>
      <c r="AF42" s="1243"/>
      <c r="AG42" s="1243"/>
      <c r="AH42" s="1243"/>
      <c r="AI42" s="1243"/>
      <c r="AJ42" s="1243"/>
      <c r="AK42" s="1243"/>
      <c r="AL42" s="1243"/>
      <c r="AM42" s="1243"/>
      <c r="AN42" s="1243"/>
      <c r="AO42" s="1243"/>
      <c r="AP42" s="1243"/>
      <c r="AQ42" s="1243"/>
      <c r="AR42" s="1243"/>
      <c r="AS42" s="1243"/>
      <c r="AT42" s="1243"/>
      <c r="AU42" s="1243"/>
      <c r="AV42" s="1243"/>
      <c r="AW42" s="1243"/>
      <c r="AX42" s="1243"/>
      <c r="AY42" s="1243"/>
      <c r="AZ42" s="1243"/>
      <c r="BA42" s="1243"/>
      <c r="BB42" s="1243"/>
      <c r="BC42" s="1243"/>
      <c r="BD42" s="1243"/>
      <c r="BE42" s="1243"/>
      <c r="BF42" s="1243"/>
      <c r="BG42" s="1243"/>
      <c r="BH42" s="1243"/>
      <c r="BI42" s="1243"/>
      <c r="BJ42" s="1243"/>
      <c r="BK42" s="1243"/>
      <c r="BL42" s="1243"/>
      <c r="BM42" s="1243"/>
      <c r="BN42" s="1243"/>
      <c r="BO42" s="1243"/>
      <c r="BP42" s="1243"/>
      <c r="BQ42" s="1243"/>
    </row>
    <row r="43" spans="1:69" ht="14.5" customHeight="1" x14ac:dyDescent="0.3">
      <c r="A43" s="1240" t="s">
        <v>209</v>
      </c>
      <c r="B43" s="1240"/>
      <c r="C43" s="1240"/>
      <c r="D43" s="1240"/>
      <c r="E43" s="1240"/>
      <c r="F43" s="1240"/>
      <c r="G43" s="1240"/>
      <c r="H43" s="1240"/>
      <c r="I43" s="1240"/>
      <c r="J43" s="1240"/>
      <c r="K43" s="1240"/>
      <c r="L43" s="1240"/>
      <c r="M43" s="1240"/>
      <c r="N43" s="1240"/>
      <c r="O43" s="1240"/>
      <c r="P43" s="1240"/>
      <c r="Q43" s="1240"/>
      <c r="R43" s="1240"/>
      <c r="S43" s="1240"/>
      <c r="T43" s="1240"/>
      <c r="U43" s="1240"/>
      <c r="V43" s="1240"/>
      <c r="W43" s="1240"/>
      <c r="X43" s="1240"/>
      <c r="Y43" s="1240"/>
      <c r="Z43" s="1240"/>
      <c r="AA43" s="1240"/>
      <c r="AB43" s="1240"/>
      <c r="AC43" s="1240"/>
      <c r="AD43" s="1240"/>
      <c r="AE43" s="1240"/>
      <c r="AF43" s="1240"/>
      <c r="AG43" s="1240"/>
      <c r="AH43" s="1240"/>
      <c r="AI43" s="1240"/>
      <c r="AJ43" s="1240"/>
      <c r="AK43" s="1240"/>
      <c r="AL43" s="1240"/>
      <c r="AM43" s="1240"/>
      <c r="AN43" s="1240"/>
      <c r="AO43" s="1240"/>
      <c r="AP43" s="1240"/>
      <c r="AQ43" s="1240"/>
      <c r="AR43" s="1240"/>
      <c r="AS43" s="1240"/>
      <c r="AT43" s="1240"/>
      <c r="AU43" s="1240"/>
      <c r="AV43" s="1240"/>
      <c r="AW43" s="1240"/>
      <c r="AX43" s="1240"/>
      <c r="AY43" s="1240"/>
      <c r="AZ43" s="1240"/>
      <c r="BA43" s="1240"/>
      <c r="BB43" s="1240"/>
      <c r="BC43" s="1240"/>
      <c r="BD43" s="1240"/>
      <c r="BE43" s="1240"/>
      <c r="BF43" s="1240"/>
      <c r="BG43" s="1240"/>
      <c r="BH43" s="1240"/>
      <c r="BI43" s="1240"/>
      <c r="BJ43" s="1240"/>
      <c r="BK43" s="1240"/>
      <c r="BL43" s="1240"/>
      <c r="BM43" s="1240"/>
      <c r="BN43" s="1240"/>
      <c r="BO43" s="1240"/>
      <c r="BP43" s="1240"/>
      <c r="BQ43" s="1240"/>
    </row>
    <row r="44" spans="1:69" ht="44.15" hidden="1" customHeight="1" x14ac:dyDescent="0.3">
      <c r="A44" s="1244" t="s">
        <v>208</v>
      </c>
      <c r="B44" s="1244"/>
      <c r="C44" s="1244"/>
      <c r="D44" s="1244"/>
      <c r="E44" s="1244"/>
      <c r="F44" s="1244"/>
      <c r="G44" s="1244"/>
      <c r="H44" s="1244"/>
      <c r="I44" s="1244"/>
      <c r="J44" s="1244"/>
      <c r="K44" s="1244"/>
      <c r="L44" s="1244"/>
      <c r="M44" s="1244"/>
      <c r="N44" s="1244"/>
      <c r="O44" s="1244"/>
      <c r="P44" s="1244"/>
      <c r="Q44" s="1244"/>
      <c r="R44" s="1244"/>
      <c r="S44" s="1244"/>
      <c r="T44" s="1244"/>
      <c r="U44" s="1244"/>
      <c r="V44" s="1244"/>
      <c r="W44" s="1244"/>
      <c r="X44" s="1244"/>
      <c r="Y44" s="1244"/>
      <c r="Z44" s="1244"/>
      <c r="AA44" s="1244"/>
      <c r="AB44" s="1244"/>
      <c r="AC44" s="1244"/>
      <c r="AD44" s="1244"/>
      <c r="AE44" s="1244"/>
      <c r="AF44" s="1244"/>
      <c r="AG44" s="1244"/>
      <c r="AH44" s="1244"/>
      <c r="AI44" s="1244"/>
      <c r="AJ44" s="1244"/>
      <c r="AK44" s="1244"/>
      <c r="AL44" s="1244"/>
      <c r="AM44" s="1244"/>
      <c r="AN44" s="1244"/>
      <c r="AO44" s="1244"/>
      <c r="AP44" s="1244"/>
      <c r="AQ44" s="1244"/>
      <c r="AR44" s="1244"/>
      <c r="AS44" s="1244"/>
      <c r="AT44" s="1244"/>
      <c r="AU44" s="1244"/>
      <c r="AV44" s="1244"/>
      <c r="AW44" s="1244"/>
      <c r="AX44" s="1244"/>
      <c r="AY44" s="1244"/>
      <c r="AZ44" s="1244"/>
      <c r="BA44" s="1244"/>
      <c r="BB44" s="1244"/>
      <c r="BC44" s="1244"/>
      <c r="BD44" s="1244"/>
      <c r="BE44" s="1244"/>
      <c r="BF44" s="1244"/>
      <c r="BG44" s="1244"/>
      <c r="BH44" s="1244"/>
      <c r="BI44" s="1244"/>
      <c r="BJ44" s="1244"/>
      <c r="BK44" s="1244"/>
      <c r="BL44" s="1244"/>
      <c r="BM44" s="1244"/>
      <c r="BN44" s="1244"/>
      <c r="BO44" s="1244"/>
      <c r="BP44" s="1244"/>
      <c r="BQ44" s="1244"/>
    </row>
    <row r="45" spans="1:69" ht="14.25" hidden="1" customHeight="1" x14ac:dyDescent="0.35">
      <c r="A45" s="1241"/>
      <c r="B45" s="1241"/>
      <c r="C45" s="1241"/>
      <c r="D45" s="1241"/>
      <c r="E45" s="1241"/>
      <c r="F45" s="1241"/>
      <c r="G45" s="1241"/>
      <c r="H45" s="1241"/>
      <c r="I45" s="1241"/>
      <c r="J45" s="1241"/>
      <c r="K45" s="1241"/>
      <c r="L45" s="1241"/>
      <c r="M45" s="1241"/>
      <c r="N45" s="1241"/>
      <c r="O45" s="1241"/>
      <c r="P45" s="1241"/>
      <c r="Q45" s="1241"/>
      <c r="R45" s="1241"/>
      <c r="S45" s="1241"/>
      <c r="T45" s="1241"/>
      <c r="U45" s="1241"/>
      <c r="V45" s="1241"/>
      <c r="W45" s="1241"/>
      <c r="X45" s="1241"/>
      <c r="Y45" s="1241"/>
      <c r="Z45" s="1241"/>
      <c r="AA45" s="1241"/>
      <c r="AB45" s="1241"/>
      <c r="AC45" s="1241"/>
      <c r="AD45" s="1241"/>
      <c r="AE45" s="1241"/>
      <c r="AF45" s="1241"/>
      <c r="AG45" s="1241"/>
      <c r="AH45" s="1241"/>
      <c r="AI45" s="1241"/>
      <c r="AJ45" s="1241"/>
      <c r="AK45" s="1241"/>
      <c r="AL45" s="1241"/>
      <c r="AM45" s="1241"/>
      <c r="AN45" s="1241"/>
    </row>
    <row r="46" spans="1:69" s="105" customFormat="1" ht="15" hidden="1" customHeight="1" x14ac:dyDescent="0.3">
      <c r="A46" s="110" t="s">
        <v>207</v>
      </c>
      <c r="B46" s="109">
        <v>91612.993198383949</v>
      </c>
      <c r="C46" s="109">
        <v>88961.339109174296</v>
      </c>
      <c r="D46" s="109">
        <v>94169.681103891635</v>
      </c>
      <c r="E46" s="109">
        <v>104521.79462500772</v>
      </c>
      <c r="F46" s="109">
        <v>120385</v>
      </c>
      <c r="G46" s="109">
        <v>136722</v>
      </c>
      <c r="H46" s="109">
        <v>145222</v>
      </c>
      <c r="I46" s="109">
        <v>142057</v>
      </c>
      <c r="J46" s="109">
        <v>73075</v>
      </c>
      <c r="K46" s="109">
        <v>157791</v>
      </c>
      <c r="L46" s="108">
        <v>173405</v>
      </c>
      <c r="M46" s="106">
        <v>177751</v>
      </c>
      <c r="N46" s="106">
        <v>186403</v>
      </c>
      <c r="O46" s="106">
        <v>185635</v>
      </c>
      <c r="P46" s="106">
        <v>188618</v>
      </c>
      <c r="Q46" s="107">
        <v>202276.51674633761</v>
      </c>
      <c r="R46" s="107">
        <v>212797.49309829541</v>
      </c>
      <c r="S46" s="107">
        <v>227812.74654914771</v>
      </c>
      <c r="T46" s="107">
        <v>245226</v>
      </c>
      <c r="U46" s="106">
        <v>243949</v>
      </c>
      <c r="V46" s="106">
        <v>251755</v>
      </c>
      <c r="W46" s="106">
        <v>260409</v>
      </c>
      <c r="X46" s="106">
        <v>262596</v>
      </c>
      <c r="Y46" s="106">
        <v>267942</v>
      </c>
      <c r="Z46" s="106">
        <v>271839</v>
      </c>
      <c r="AA46" s="106">
        <v>273539</v>
      </c>
      <c r="AB46" s="1123">
        <v>275285</v>
      </c>
      <c r="AC46" s="1123">
        <v>276207</v>
      </c>
      <c r="AD46" s="1123">
        <v>275373</v>
      </c>
      <c r="AE46" s="1123">
        <v>275434</v>
      </c>
      <c r="AF46" s="1123">
        <v>276809</v>
      </c>
      <c r="AG46" s="1123">
        <v>281728</v>
      </c>
      <c r="AH46" s="106">
        <v>282116</v>
      </c>
      <c r="AI46" s="106">
        <v>284635</v>
      </c>
      <c r="AJ46" s="1124">
        <v>289161</v>
      </c>
      <c r="AK46" s="1124">
        <v>293134</v>
      </c>
      <c r="AL46" s="1124">
        <v>292743</v>
      </c>
      <c r="AM46" s="1124">
        <v>293028</v>
      </c>
      <c r="AN46" s="1124">
        <v>297274</v>
      </c>
      <c r="AO46" s="1124">
        <v>299701</v>
      </c>
      <c r="AP46" s="1124">
        <v>305278</v>
      </c>
      <c r="AQ46" s="1124">
        <v>309936</v>
      </c>
      <c r="AR46" s="1124">
        <v>313508</v>
      </c>
      <c r="AS46" s="1124">
        <v>308228</v>
      </c>
      <c r="AT46" s="1124">
        <v>284964</v>
      </c>
      <c r="AU46" s="1124">
        <v>272643</v>
      </c>
      <c r="AV46" s="1124">
        <v>251943</v>
      </c>
      <c r="AW46" s="1124">
        <v>239260</v>
      </c>
      <c r="AX46" s="1124">
        <v>252625</v>
      </c>
      <c r="AY46" s="1124">
        <v>266258</v>
      </c>
      <c r="AZ46" s="1124">
        <v>294447</v>
      </c>
      <c r="BA46" s="1124">
        <v>317274</v>
      </c>
      <c r="BB46" s="1124">
        <v>344933</v>
      </c>
      <c r="BC46" s="1124">
        <v>364792</v>
      </c>
      <c r="BD46" s="1124">
        <v>383118</v>
      </c>
      <c r="BE46" s="1124">
        <v>405784</v>
      </c>
      <c r="BF46" s="1124">
        <v>417542</v>
      </c>
      <c r="BG46" s="1124">
        <v>429751</v>
      </c>
      <c r="BH46" s="1124">
        <v>439799</v>
      </c>
      <c r="BI46" s="1124">
        <v>445932</v>
      </c>
      <c r="BJ46" s="1124">
        <v>458374</v>
      </c>
      <c r="BK46" s="1124">
        <v>463056</v>
      </c>
      <c r="BL46" s="1124">
        <v>465310</v>
      </c>
      <c r="BM46" s="1124">
        <v>461461</v>
      </c>
      <c r="BN46" s="1124">
        <v>462884</v>
      </c>
      <c r="BO46" s="1124">
        <v>472553</v>
      </c>
      <c r="BP46" s="1124">
        <v>483357</v>
      </c>
      <c r="BQ46" s="1124">
        <v>498440</v>
      </c>
    </row>
  </sheetData>
  <mergeCells count="10">
    <mergeCell ref="A1:BQ1"/>
    <mergeCell ref="A37:BQ37"/>
    <mergeCell ref="A45:AN45"/>
    <mergeCell ref="A38:BM38"/>
    <mergeCell ref="A39:BM39"/>
    <mergeCell ref="A40:BM40"/>
    <mergeCell ref="A41:BQ41"/>
    <mergeCell ref="A42:BQ42"/>
    <mergeCell ref="A43:BQ43"/>
    <mergeCell ref="A44:BQ44"/>
  </mergeCells>
  <pageMargins left="0.53" right="0.31496062992125984" top="0.51" bottom="0.47244094488188981"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D50"/>
  <sheetViews>
    <sheetView zoomScale="110" zoomScaleNormal="110" workbookViewId="0">
      <pane xSplit="73" ySplit="5" topLeftCell="BV6" activePane="bottomRight" state="frozen"/>
      <selection activeCell="A2" sqref="A2"/>
      <selection pane="topRight" activeCell="BV2" sqref="BV2"/>
      <selection pane="bottomLeft" activeCell="A6" sqref="A6"/>
      <selection pane="bottomRight" activeCell="CB12" sqref="CB12"/>
    </sheetView>
  </sheetViews>
  <sheetFormatPr defaultColWidth="9.08984375" defaultRowHeight="14" x14ac:dyDescent="0.3"/>
  <cols>
    <col min="1" max="1" width="44.453125" style="980" customWidth="1"/>
    <col min="2" max="2" width="8.36328125" style="980" hidden="1" customWidth="1"/>
    <col min="3" max="3" width="9" style="980" hidden="1" customWidth="1"/>
    <col min="4" max="5" width="8.90625" style="980" hidden="1" customWidth="1"/>
    <col min="6" max="6" width="7.90625" style="980" hidden="1" customWidth="1"/>
    <col min="7" max="8" width="8.453125" style="980" hidden="1" customWidth="1"/>
    <col min="9" max="9" width="8.36328125" style="980" hidden="1" customWidth="1"/>
    <col min="10" max="10" width="8.6328125" style="980" hidden="1" customWidth="1"/>
    <col min="11" max="11" width="7.6328125" style="980" hidden="1" customWidth="1"/>
    <col min="12" max="12" width="8.90625" style="980" hidden="1" customWidth="1"/>
    <col min="13" max="13" width="8.453125" style="980" hidden="1" customWidth="1"/>
    <col min="14" max="14" width="8.90625" style="980" hidden="1" customWidth="1"/>
    <col min="15" max="15" width="8.6328125" style="980" hidden="1" customWidth="1"/>
    <col min="16" max="16" width="8.36328125" style="980" hidden="1" customWidth="1"/>
    <col min="17" max="18" width="8.90625" style="980" hidden="1" customWidth="1"/>
    <col min="19" max="20" width="9.08984375" style="980" hidden="1" customWidth="1"/>
    <col min="21" max="21" width="7.90625" style="156" hidden="1" customWidth="1"/>
    <col min="22" max="23" width="8.453125" style="980" hidden="1" customWidth="1"/>
    <col min="24" max="24" width="9.453125" style="980" hidden="1" customWidth="1"/>
    <col min="25" max="25" width="8.453125" style="980" hidden="1" customWidth="1"/>
    <col min="26" max="26" width="8.453125" style="156" hidden="1" customWidth="1"/>
    <col min="27" max="28" width="8.453125" style="980" hidden="1" customWidth="1"/>
    <col min="29" max="29" width="9.36328125" style="156" hidden="1" customWidth="1"/>
    <col min="30" max="30" width="8.453125" style="980" hidden="1" customWidth="1"/>
    <col min="31" max="31" width="8.6328125" style="980" hidden="1" customWidth="1"/>
    <col min="32" max="32" width="8.453125" style="980" hidden="1" customWidth="1"/>
    <col min="33" max="33" width="8.6328125" style="980" hidden="1" customWidth="1"/>
    <col min="34" max="34" width="7.6328125" style="155" hidden="1" customWidth="1"/>
    <col min="35" max="37" width="8.453125" style="980" hidden="1" customWidth="1"/>
    <col min="38" max="38" width="8.90625" style="980" hidden="1" customWidth="1"/>
    <col min="39" max="39" width="7.6328125" style="155" hidden="1" customWidth="1"/>
    <col min="40" max="40" width="8.453125" style="980" hidden="1" customWidth="1"/>
    <col min="41" max="41" width="8.90625" style="980" hidden="1" customWidth="1"/>
    <col min="42" max="42" width="9" style="980" hidden="1" customWidth="1"/>
    <col min="43" max="43" width="8.6328125" style="980" hidden="1" customWidth="1"/>
    <col min="44" max="44" width="8" style="980" hidden="1" customWidth="1"/>
    <col min="45" max="45" width="8.453125" style="980" hidden="1" customWidth="1"/>
    <col min="46" max="46" width="9" style="980" hidden="1" customWidth="1"/>
    <col min="47" max="47" width="8.453125" style="980" hidden="1" customWidth="1"/>
    <col min="48" max="48" width="10.08984375" style="980" hidden="1" customWidth="1"/>
    <col min="49" max="49" width="8.453125" style="980" hidden="1" customWidth="1"/>
    <col min="50" max="50" width="9" style="980" hidden="1" customWidth="1"/>
    <col min="51" max="51" width="8.6328125" style="980" hidden="1" customWidth="1"/>
    <col min="52" max="52" width="8.90625" style="980" hidden="1" customWidth="1"/>
    <col min="53" max="53" width="9" style="980" hidden="1" customWidth="1"/>
    <col min="54" max="54" width="9.08984375" style="980" hidden="1" customWidth="1"/>
    <col min="55" max="55" width="9.453125" style="980" hidden="1" customWidth="1"/>
    <col min="56" max="56" width="9.90625" style="980" hidden="1" customWidth="1"/>
    <col min="57" max="57" width="9.6328125" style="980" hidden="1" customWidth="1"/>
    <col min="58" max="58" width="9" style="980" hidden="1" customWidth="1"/>
    <col min="59" max="59" width="8.6328125" style="980" hidden="1" customWidth="1"/>
    <col min="60" max="60" width="9.6328125" style="980" hidden="1" customWidth="1"/>
    <col min="61" max="62" width="10" style="980" hidden="1" customWidth="1"/>
    <col min="63" max="67" width="9.90625" style="980" hidden="1" customWidth="1"/>
    <col min="68" max="68" width="9.6328125" style="980" hidden="1" customWidth="1"/>
    <col min="69" max="69" width="9.08984375" style="980" hidden="1" customWidth="1"/>
    <col min="70" max="70" width="10.08984375" style="980" hidden="1" customWidth="1"/>
    <col min="71" max="71" width="9.6328125" style="980" hidden="1" customWidth="1"/>
    <col min="72" max="74" width="9.08984375" style="980" hidden="1" customWidth="1"/>
    <col min="75" max="75" width="10.453125" style="980" hidden="1" customWidth="1"/>
    <col min="76" max="77" width="10.08984375" style="980" hidden="1" customWidth="1"/>
    <col min="78" max="78" width="10.08984375" style="980" customWidth="1"/>
    <col min="79" max="79" width="9.08984375" style="980" customWidth="1"/>
    <col min="80" max="80" width="9.453125" style="980" customWidth="1"/>
    <col min="81" max="82" width="10" style="1127" customWidth="1"/>
    <col min="83" max="16384" width="9.08984375" style="102"/>
  </cols>
  <sheetData>
    <row r="1" spans="1:82" ht="15" customHeight="1" x14ac:dyDescent="0.3">
      <c r="A1" s="978"/>
      <c r="B1" s="978"/>
      <c r="C1" s="978"/>
      <c r="D1" s="978"/>
      <c r="E1" s="978"/>
      <c r="F1" s="978"/>
      <c r="G1" s="978"/>
      <c r="H1" s="978"/>
      <c r="I1" s="978"/>
      <c r="J1" s="978"/>
      <c r="K1" s="978"/>
      <c r="L1" s="978"/>
      <c r="M1" s="978"/>
      <c r="N1" s="978"/>
      <c r="O1" s="978"/>
      <c r="P1" s="978"/>
      <c r="Q1" s="978"/>
      <c r="R1" s="978"/>
      <c r="S1" s="978"/>
      <c r="T1" s="978"/>
      <c r="U1" s="978"/>
      <c r="V1" s="978"/>
      <c r="W1" s="978"/>
      <c r="X1" s="978"/>
      <c r="Y1" s="978"/>
      <c r="Z1" s="978"/>
      <c r="AA1" s="978"/>
      <c r="AB1" s="978"/>
      <c r="AC1" s="978"/>
      <c r="AD1" s="978"/>
      <c r="AE1" s="978"/>
      <c r="AF1" s="978"/>
      <c r="AG1" s="978"/>
      <c r="AH1" s="978"/>
      <c r="AI1" s="978"/>
      <c r="AJ1" s="978"/>
      <c r="AK1" s="978"/>
      <c r="AL1" s="978"/>
      <c r="AM1" s="978"/>
      <c r="AN1" s="978"/>
      <c r="AO1" s="978"/>
      <c r="AP1" s="978"/>
      <c r="AQ1" s="978"/>
      <c r="AR1" s="978"/>
      <c r="AS1" s="978"/>
      <c r="AT1" s="978"/>
      <c r="AU1" s="978"/>
      <c r="AV1" s="978"/>
      <c r="AW1" s="978"/>
      <c r="AX1" s="978"/>
      <c r="AY1" s="978"/>
      <c r="AZ1" s="978"/>
      <c r="BA1" s="978"/>
      <c r="BB1" s="978"/>
      <c r="BC1" s="978"/>
      <c r="BD1" s="978"/>
      <c r="BE1" s="978"/>
      <c r="BF1" s="978"/>
      <c r="BG1" s="978"/>
      <c r="BH1" s="978"/>
      <c r="BI1" s="978"/>
    </row>
    <row r="2" spans="1:82" ht="15.75" customHeight="1" x14ac:dyDescent="0.3">
      <c r="A2" s="1256" t="s">
        <v>345</v>
      </c>
      <c r="B2" s="1256"/>
      <c r="C2" s="1256"/>
      <c r="D2" s="1256"/>
      <c r="E2" s="1256"/>
      <c r="F2" s="1256"/>
      <c r="G2" s="1256"/>
      <c r="H2" s="1256"/>
      <c r="I2" s="1256"/>
      <c r="J2" s="1256"/>
      <c r="K2" s="1256"/>
      <c r="L2" s="1256"/>
      <c r="M2" s="1256"/>
      <c r="N2" s="1256"/>
      <c r="O2" s="1256"/>
      <c r="P2" s="1256"/>
      <c r="Q2" s="1256"/>
      <c r="R2" s="1256"/>
      <c r="S2" s="1256"/>
      <c r="T2" s="1256"/>
      <c r="U2" s="1256"/>
      <c r="V2" s="1256"/>
      <c r="W2" s="1256"/>
      <c r="X2" s="1256"/>
      <c r="Y2" s="1256"/>
      <c r="Z2" s="1256"/>
      <c r="AA2" s="1256"/>
      <c r="AB2" s="1256"/>
      <c r="AC2" s="1256"/>
      <c r="AD2" s="1256"/>
      <c r="AE2" s="1256"/>
      <c r="AF2" s="1256"/>
      <c r="AG2" s="1256"/>
      <c r="AH2" s="1256"/>
      <c r="AI2" s="1256"/>
      <c r="AJ2" s="1256"/>
      <c r="AK2" s="1256"/>
      <c r="AL2" s="1256"/>
      <c r="AM2" s="1256"/>
      <c r="AN2" s="1256"/>
      <c r="AO2" s="1256"/>
      <c r="AP2" s="1256"/>
      <c r="AQ2" s="1256"/>
      <c r="AR2" s="1256"/>
      <c r="AS2" s="1256"/>
      <c r="AT2" s="1256"/>
      <c r="AU2" s="1256"/>
      <c r="AV2" s="1256"/>
      <c r="AW2" s="1256"/>
      <c r="AX2" s="1256"/>
      <c r="AY2" s="1256"/>
      <c r="AZ2" s="1256"/>
      <c r="BA2" s="1256"/>
      <c r="BB2" s="1256"/>
      <c r="BC2" s="1256"/>
      <c r="BD2" s="1256"/>
      <c r="BE2" s="1256"/>
      <c r="BF2" s="1256"/>
      <c r="BG2" s="1256"/>
      <c r="BH2" s="1256"/>
      <c r="BI2" s="1256"/>
      <c r="BJ2" s="1256"/>
      <c r="BK2" s="1256"/>
      <c r="BL2" s="1256"/>
      <c r="BM2" s="1256"/>
      <c r="BN2" s="1256"/>
      <c r="BO2" s="1256"/>
      <c r="BP2" s="1256"/>
      <c r="BQ2" s="1256"/>
      <c r="BR2" s="1256"/>
      <c r="BS2" s="1256"/>
      <c r="BT2" s="1256"/>
      <c r="BU2" s="1256"/>
      <c r="BV2" s="1256"/>
      <c r="BW2" s="1256"/>
      <c r="BX2" s="1256"/>
      <c r="BY2" s="1256"/>
      <c r="BZ2" s="1256"/>
      <c r="CA2" s="1256"/>
      <c r="CB2" s="1256"/>
      <c r="CC2" s="1256"/>
      <c r="CD2" s="1256"/>
    </row>
    <row r="3" spans="1:82" ht="15" x14ac:dyDescent="0.3">
      <c r="A3" s="978"/>
      <c r="G3" s="152"/>
      <c r="H3" s="152"/>
      <c r="I3" s="152"/>
      <c r="L3" s="152"/>
      <c r="M3" s="152"/>
      <c r="N3" s="152"/>
      <c r="O3" s="152"/>
      <c r="Q3" s="152"/>
      <c r="R3" s="152"/>
      <c r="T3" s="105"/>
      <c r="V3" s="105"/>
      <c r="W3" s="105"/>
      <c r="AA3" s="105"/>
      <c r="AB3" s="105"/>
      <c r="AC3" s="155"/>
      <c r="AD3" s="105"/>
      <c r="AF3" s="105"/>
      <c r="AH3" s="105"/>
      <c r="AS3" s="198"/>
      <c r="BC3" s="198"/>
      <c r="BH3" s="198"/>
      <c r="BM3" s="198"/>
      <c r="BS3" s="198"/>
      <c r="BW3" s="198"/>
      <c r="BX3" s="198"/>
      <c r="BY3" s="198"/>
      <c r="BZ3" s="198"/>
      <c r="CA3" s="198"/>
      <c r="CB3" s="198"/>
      <c r="CC3" s="161"/>
      <c r="CD3" s="161" t="s">
        <v>144</v>
      </c>
    </row>
    <row r="4" spans="1:82" ht="14.25" customHeight="1" x14ac:dyDescent="0.3">
      <c r="A4" s="194"/>
      <c r="B4" s="1259">
        <v>2010</v>
      </c>
      <c r="C4" s="1260"/>
      <c r="D4" s="1260"/>
      <c r="E4" s="1261"/>
      <c r="F4" s="1246" t="s">
        <v>344</v>
      </c>
      <c r="G4" s="1259">
        <v>2011</v>
      </c>
      <c r="H4" s="1260"/>
      <c r="I4" s="1260"/>
      <c r="J4" s="1261"/>
      <c r="K4" s="1246" t="s">
        <v>343</v>
      </c>
      <c r="L4" s="1259">
        <v>2012</v>
      </c>
      <c r="M4" s="1260"/>
      <c r="N4" s="1260"/>
      <c r="O4" s="1261"/>
      <c r="P4" s="1246" t="s">
        <v>342</v>
      </c>
      <c r="Q4" s="1259">
        <v>2013</v>
      </c>
      <c r="R4" s="1260"/>
      <c r="S4" s="1260"/>
      <c r="T4" s="1261"/>
      <c r="U4" s="1246" t="s">
        <v>341</v>
      </c>
      <c r="V4" s="1259">
        <v>2014</v>
      </c>
      <c r="W4" s="1260"/>
      <c r="X4" s="1260"/>
      <c r="Y4" s="1261"/>
      <c r="Z4" s="1246" t="s">
        <v>340</v>
      </c>
      <c r="AA4" s="1259">
        <v>2015</v>
      </c>
      <c r="AB4" s="1261"/>
      <c r="AC4" s="1246" t="s">
        <v>339</v>
      </c>
      <c r="AD4" s="1259" t="s">
        <v>338</v>
      </c>
      <c r="AE4" s="1260"/>
      <c r="AF4" s="1260"/>
      <c r="AG4" s="1261"/>
      <c r="AH4" s="1246" t="s">
        <v>337</v>
      </c>
      <c r="AI4" s="1259" t="s">
        <v>336</v>
      </c>
      <c r="AJ4" s="1260"/>
      <c r="AK4" s="1260"/>
      <c r="AL4" s="1261"/>
      <c r="AM4" s="1246" t="s">
        <v>335</v>
      </c>
      <c r="AN4" s="1250" t="s">
        <v>334</v>
      </c>
      <c r="AO4" s="1251"/>
      <c r="AP4" s="1251"/>
      <c r="AQ4" s="1252"/>
      <c r="AR4" s="1246" t="s">
        <v>333</v>
      </c>
      <c r="AS4" s="1250" t="s">
        <v>332</v>
      </c>
      <c r="AT4" s="1251"/>
      <c r="AU4" s="1251"/>
      <c r="AV4" s="1252"/>
      <c r="AW4" s="1248" t="s">
        <v>331</v>
      </c>
      <c r="AX4" s="1250" t="s">
        <v>330</v>
      </c>
      <c r="AY4" s="1251"/>
      <c r="AZ4" s="1251"/>
      <c r="BA4" s="1252"/>
      <c r="BB4" s="1248" t="s">
        <v>329</v>
      </c>
      <c r="BC4" s="1250" t="s">
        <v>328</v>
      </c>
      <c r="BD4" s="1251"/>
      <c r="BE4" s="1251"/>
      <c r="BF4" s="1252"/>
      <c r="BG4" s="1248" t="s">
        <v>327</v>
      </c>
      <c r="BH4" s="1250" t="s">
        <v>326</v>
      </c>
      <c r="BI4" s="1251"/>
      <c r="BJ4" s="1251"/>
      <c r="BK4" s="1252"/>
      <c r="BL4" s="1248" t="s">
        <v>325</v>
      </c>
      <c r="BM4" s="1250" t="s">
        <v>324</v>
      </c>
      <c r="BN4" s="1251"/>
      <c r="BO4" s="1251"/>
      <c r="BP4" s="1252"/>
      <c r="BQ4" s="1248" t="s">
        <v>323</v>
      </c>
      <c r="BR4" s="1250" t="s">
        <v>322</v>
      </c>
      <c r="BS4" s="1251"/>
      <c r="BT4" s="1251"/>
      <c r="BU4" s="1252"/>
      <c r="BV4" s="1248" t="s">
        <v>321</v>
      </c>
      <c r="BW4" s="1250" t="s">
        <v>320</v>
      </c>
      <c r="BX4" s="1251"/>
      <c r="BY4" s="1251"/>
      <c r="BZ4" s="1252"/>
      <c r="CA4" s="1248" t="s">
        <v>319</v>
      </c>
      <c r="CB4" s="1253" t="s">
        <v>318</v>
      </c>
      <c r="CC4" s="1254"/>
      <c r="CD4" s="1255"/>
    </row>
    <row r="5" spans="1:82" ht="17" customHeight="1" x14ac:dyDescent="0.3">
      <c r="A5" s="138"/>
      <c r="B5" s="979" t="s">
        <v>312</v>
      </c>
      <c r="C5" s="979" t="s">
        <v>315</v>
      </c>
      <c r="D5" s="979" t="s">
        <v>314</v>
      </c>
      <c r="E5" s="979" t="s">
        <v>313</v>
      </c>
      <c r="F5" s="1247"/>
      <c r="G5" s="979" t="s">
        <v>312</v>
      </c>
      <c r="H5" s="979" t="s">
        <v>315</v>
      </c>
      <c r="I5" s="979" t="s">
        <v>314</v>
      </c>
      <c r="J5" s="979" t="s">
        <v>313</v>
      </c>
      <c r="K5" s="1247"/>
      <c r="L5" s="979" t="s">
        <v>312</v>
      </c>
      <c r="M5" s="979" t="s">
        <v>315</v>
      </c>
      <c r="N5" s="979" t="s">
        <v>314</v>
      </c>
      <c r="O5" s="979" t="s">
        <v>313</v>
      </c>
      <c r="P5" s="1247"/>
      <c r="Q5" s="979" t="s">
        <v>312</v>
      </c>
      <c r="R5" s="979" t="s">
        <v>315</v>
      </c>
      <c r="S5" s="979" t="s">
        <v>314</v>
      </c>
      <c r="T5" s="979" t="s">
        <v>313</v>
      </c>
      <c r="U5" s="1247"/>
      <c r="V5" s="979" t="s">
        <v>312</v>
      </c>
      <c r="W5" s="979" t="s">
        <v>315</v>
      </c>
      <c r="X5" s="979" t="s">
        <v>314</v>
      </c>
      <c r="Y5" s="979" t="s">
        <v>313</v>
      </c>
      <c r="Z5" s="1247"/>
      <c r="AA5" s="979" t="s">
        <v>312</v>
      </c>
      <c r="AB5" s="979" t="s">
        <v>315</v>
      </c>
      <c r="AC5" s="1247"/>
      <c r="AD5" s="979" t="s">
        <v>312</v>
      </c>
      <c r="AE5" s="979" t="s">
        <v>315</v>
      </c>
      <c r="AF5" s="979" t="s">
        <v>314</v>
      </c>
      <c r="AG5" s="979" t="s">
        <v>313</v>
      </c>
      <c r="AH5" s="1247"/>
      <c r="AI5" s="979" t="s">
        <v>312</v>
      </c>
      <c r="AJ5" s="979" t="s">
        <v>315</v>
      </c>
      <c r="AK5" s="66" t="s">
        <v>314</v>
      </c>
      <c r="AL5" s="66" t="s">
        <v>313</v>
      </c>
      <c r="AM5" s="1247"/>
      <c r="AN5" s="979" t="s">
        <v>312</v>
      </c>
      <c r="AO5" s="66" t="s">
        <v>315</v>
      </c>
      <c r="AP5" s="66" t="s">
        <v>314</v>
      </c>
      <c r="AQ5" s="66" t="s">
        <v>313</v>
      </c>
      <c r="AR5" s="1247"/>
      <c r="AS5" s="66" t="s">
        <v>312</v>
      </c>
      <c r="AT5" s="66" t="s">
        <v>315</v>
      </c>
      <c r="AU5" s="66" t="s">
        <v>314</v>
      </c>
      <c r="AV5" s="66" t="s">
        <v>313</v>
      </c>
      <c r="AW5" s="1249"/>
      <c r="AX5" s="66" t="s">
        <v>312</v>
      </c>
      <c r="AY5" s="66" t="s">
        <v>315</v>
      </c>
      <c r="AZ5" s="66" t="s">
        <v>314</v>
      </c>
      <c r="BA5" s="66" t="s">
        <v>313</v>
      </c>
      <c r="BB5" s="1249"/>
      <c r="BC5" s="66" t="s">
        <v>312</v>
      </c>
      <c r="BD5" s="66" t="s">
        <v>315</v>
      </c>
      <c r="BE5" s="66" t="s">
        <v>314</v>
      </c>
      <c r="BF5" s="66" t="s">
        <v>313</v>
      </c>
      <c r="BG5" s="1249"/>
      <c r="BH5" s="197" t="s">
        <v>312</v>
      </c>
      <c r="BI5" s="197" t="s">
        <v>317</v>
      </c>
      <c r="BJ5" s="197" t="s">
        <v>314</v>
      </c>
      <c r="BK5" s="197" t="s">
        <v>313</v>
      </c>
      <c r="BL5" s="1249"/>
      <c r="BM5" s="197" t="s">
        <v>312</v>
      </c>
      <c r="BN5" s="197" t="s">
        <v>315</v>
      </c>
      <c r="BO5" s="197" t="s">
        <v>314</v>
      </c>
      <c r="BP5" s="197" t="s">
        <v>316</v>
      </c>
      <c r="BQ5" s="1249"/>
      <c r="BR5" s="197" t="s">
        <v>312</v>
      </c>
      <c r="BS5" s="197" t="s">
        <v>315</v>
      </c>
      <c r="BT5" s="197" t="s">
        <v>314</v>
      </c>
      <c r="BU5" s="197" t="s">
        <v>313</v>
      </c>
      <c r="BV5" s="1249"/>
      <c r="BW5" s="197" t="s">
        <v>312</v>
      </c>
      <c r="BX5" s="197" t="s">
        <v>315</v>
      </c>
      <c r="BY5" s="197" t="s">
        <v>314</v>
      </c>
      <c r="BZ5" s="197" t="s">
        <v>313</v>
      </c>
      <c r="CA5" s="1249"/>
      <c r="CB5" s="197" t="s">
        <v>312</v>
      </c>
      <c r="CC5" s="197" t="s">
        <v>315</v>
      </c>
      <c r="CD5" s="197" t="s">
        <v>314</v>
      </c>
    </row>
    <row r="6" spans="1:82" x14ac:dyDescent="0.3">
      <c r="A6" s="171" t="s">
        <v>311</v>
      </c>
      <c r="B6" s="196"/>
      <c r="C6" s="196"/>
      <c r="D6" s="196"/>
      <c r="E6" s="196"/>
      <c r="F6" s="196"/>
      <c r="G6" s="196"/>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3"/>
      <c r="AI6" s="196"/>
      <c r="AJ6" s="196"/>
      <c r="AK6" s="196"/>
      <c r="AL6" s="196"/>
      <c r="AM6" s="195"/>
      <c r="AN6" s="194"/>
      <c r="AO6" s="194"/>
      <c r="AP6" s="194"/>
      <c r="AQ6" s="194"/>
      <c r="AR6" s="193"/>
      <c r="AS6" s="194"/>
      <c r="AT6" s="194"/>
      <c r="AU6" s="194"/>
      <c r="AV6" s="194"/>
      <c r="AW6" s="193"/>
      <c r="AX6" s="194"/>
      <c r="AY6" s="194"/>
      <c r="AZ6" s="194"/>
      <c r="BA6" s="194"/>
      <c r="BB6" s="193"/>
      <c r="BC6" s="194"/>
      <c r="BD6" s="194"/>
      <c r="BE6" s="194"/>
      <c r="BF6" s="194"/>
      <c r="BG6" s="193"/>
      <c r="BH6" s="194"/>
      <c r="BI6" s="194"/>
      <c r="BJ6" s="194"/>
      <c r="BK6" s="194"/>
      <c r="BL6" s="193"/>
      <c r="BM6" s="194"/>
      <c r="BN6" s="194"/>
      <c r="BO6" s="194"/>
      <c r="BP6" s="194"/>
      <c r="BQ6" s="193"/>
      <c r="BR6" s="194"/>
      <c r="BS6" s="194"/>
      <c r="BT6" s="194"/>
      <c r="BU6" s="194"/>
      <c r="BV6" s="193"/>
      <c r="BW6" s="194"/>
      <c r="BX6" s="194"/>
      <c r="BY6" s="194"/>
      <c r="BZ6" s="194"/>
      <c r="CA6" s="193"/>
      <c r="CB6" s="193"/>
      <c r="CC6" s="193"/>
      <c r="CD6" s="193"/>
    </row>
    <row r="7" spans="1:82" ht="7.5" customHeight="1" x14ac:dyDescent="0.3">
      <c r="A7" s="138"/>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71"/>
      <c r="AI7" s="192"/>
      <c r="AJ7" s="192"/>
      <c r="AK7" s="192"/>
      <c r="AL7" s="192"/>
      <c r="AM7" s="173"/>
      <c r="AN7" s="128"/>
      <c r="AO7" s="128"/>
      <c r="AP7" s="128"/>
      <c r="AQ7" s="128"/>
      <c r="AR7" s="171"/>
      <c r="AS7" s="128"/>
      <c r="AT7" s="128"/>
      <c r="AU7" s="128"/>
      <c r="AV7" s="128"/>
      <c r="AW7" s="171"/>
      <c r="AX7" s="128"/>
      <c r="AY7" s="128"/>
      <c r="AZ7" s="128"/>
      <c r="BA7" s="128"/>
      <c r="BB7" s="171"/>
      <c r="BC7" s="128"/>
      <c r="BD7" s="128"/>
      <c r="BE7" s="128"/>
      <c r="BF7" s="128"/>
      <c r="BG7" s="171"/>
      <c r="BH7" s="128"/>
      <c r="BI7" s="128"/>
      <c r="BJ7" s="128"/>
      <c r="BK7" s="128"/>
      <c r="BL7" s="171"/>
      <c r="BM7" s="128"/>
      <c r="BN7" s="128"/>
      <c r="BO7" s="128"/>
      <c r="BP7" s="128"/>
      <c r="BQ7" s="171"/>
      <c r="BR7" s="128"/>
      <c r="BS7" s="128"/>
      <c r="BT7" s="128"/>
      <c r="BU7" s="128"/>
      <c r="BV7" s="171"/>
      <c r="BW7" s="128"/>
      <c r="BX7" s="128"/>
      <c r="BY7" s="128"/>
      <c r="BZ7" s="128"/>
      <c r="CA7" s="171"/>
      <c r="CB7" s="171"/>
      <c r="CC7" s="171"/>
      <c r="CD7" s="171"/>
    </row>
    <row r="8" spans="1:82" x14ac:dyDescent="0.3">
      <c r="A8" s="190" t="s">
        <v>310</v>
      </c>
      <c r="B8" s="174">
        <v>156.5</v>
      </c>
      <c r="C8" s="174">
        <v>255.4</v>
      </c>
      <c r="D8" s="174">
        <v>151.69999999999999</v>
      </c>
      <c r="E8" s="174">
        <v>270.89999999999998</v>
      </c>
      <c r="F8" s="174">
        <v>834.49999999999989</v>
      </c>
      <c r="G8" s="174">
        <v>113.7</v>
      </c>
      <c r="H8" s="174">
        <v>211.6</v>
      </c>
      <c r="I8" s="174">
        <v>146.1</v>
      </c>
      <c r="J8" s="174">
        <v>296.8</v>
      </c>
      <c r="K8" s="174">
        <v>768.2</v>
      </c>
      <c r="L8" s="174">
        <v>148.6</v>
      </c>
      <c r="M8" s="174">
        <v>205.4</v>
      </c>
      <c r="N8" s="174">
        <v>276.39999999999998</v>
      </c>
      <c r="O8" s="174">
        <v>255.5</v>
      </c>
      <c r="P8" s="174">
        <v>885.9</v>
      </c>
      <c r="Q8" s="174">
        <v>265.89999999999998</v>
      </c>
      <c r="R8" s="174">
        <v>163</v>
      </c>
      <c r="S8" s="174">
        <v>406</v>
      </c>
      <c r="T8" s="174">
        <v>255</v>
      </c>
      <c r="U8" s="170">
        <v>1089.9000000000001</v>
      </c>
      <c r="V8" s="174">
        <v>610</v>
      </c>
      <c r="W8" s="174">
        <v>294</v>
      </c>
      <c r="X8" s="174">
        <v>675</v>
      </c>
      <c r="Y8" s="174">
        <v>1253</v>
      </c>
      <c r="Z8" s="170">
        <v>2832</v>
      </c>
      <c r="AA8" s="174">
        <v>712</v>
      </c>
      <c r="AB8" s="174">
        <v>408</v>
      </c>
      <c r="AC8" s="170">
        <v>1120</v>
      </c>
      <c r="AD8" s="174">
        <v>837</v>
      </c>
      <c r="AE8" s="174">
        <v>413</v>
      </c>
      <c r="AF8" s="174">
        <v>925</v>
      </c>
      <c r="AG8" s="174">
        <v>403</v>
      </c>
      <c r="AH8" s="179">
        <v>2578</v>
      </c>
      <c r="AI8" s="174">
        <v>854</v>
      </c>
      <c r="AJ8" s="174">
        <v>405</v>
      </c>
      <c r="AK8" s="174">
        <v>5038</v>
      </c>
      <c r="AL8" s="174">
        <v>399</v>
      </c>
      <c r="AM8" s="180">
        <v>6696</v>
      </c>
      <c r="AN8" s="172">
        <v>1140</v>
      </c>
      <c r="AO8" s="172">
        <v>333</v>
      </c>
      <c r="AP8" s="172">
        <v>1180</v>
      </c>
      <c r="AQ8" s="172">
        <v>377</v>
      </c>
      <c r="AR8" s="179">
        <v>3030</v>
      </c>
      <c r="AS8" s="172">
        <v>1640</v>
      </c>
      <c r="AT8" s="172">
        <v>369</v>
      </c>
      <c r="AU8" s="172">
        <v>1623</v>
      </c>
      <c r="AV8" s="172">
        <v>434</v>
      </c>
      <c r="AW8" s="179">
        <v>4066</v>
      </c>
      <c r="AX8" s="172">
        <v>1649.3</v>
      </c>
      <c r="AY8" s="172">
        <v>508.8</v>
      </c>
      <c r="AZ8" s="172">
        <v>8168.9</v>
      </c>
      <c r="BA8" s="172">
        <v>547</v>
      </c>
      <c r="BB8" s="179">
        <v>10874</v>
      </c>
      <c r="BC8" s="172">
        <v>1612</v>
      </c>
      <c r="BD8" s="172">
        <v>818</v>
      </c>
      <c r="BE8" s="172">
        <v>1869</v>
      </c>
      <c r="BF8" s="172">
        <v>610</v>
      </c>
      <c r="BG8" s="179">
        <v>4909</v>
      </c>
      <c r="BH8" s="172">
        <v>1580.6</v>
      </c>
      <c r="BI8" s="172">
        <v>613</v>
      </c>
      <c r="BJ8" s="172">
        <v>1380</v>
      </c>
      <c r="BK8" s="172">
        <v>579</v>
      </c>
      <c r="BL8" s="179">
        <v>4152.6000000000004</v>
      </c>
      <c r="BM8" s="172">
        <v>1572</v>
      </c>
      <c r="BN8" s="172">
        <v>725</v>
      </c>
      <c r="BO8" s="172">
        <v>1186</v>
      </c>
      <c r="BP8" s="172">
        <v>11960</v>
      </c>
      <c r="BQ8" s="179">
        <v>15443</v>
      </c>
      <c r="BR8" s="172">
        <v>1099.9000000000001</v>
      </c>
      <c r="BS8" s="172">
        <v>828.6</v>
      </c>
      <c r="BT8" s="172">
        <v>851</v>
      </c>
      <c r="BU8" s="172">
        <v>716</v>
      </c>
      <c r="BV8" s="179">
        <v>3495.5</v>
      </c>
      <c r="BW8" s="172">
        <v>834</v>
      </c>
      <c r="BX8" s="172">
        <v>709</v>
      </c>
      <c r="BY8" s="172">
        <v>1243</v>
      </c>
      <c r="BZ8" s="172">
        <v>618</v>
      </c>
      <c r="CA8" s="179">
        <v>3404</v>
      </c>
      <c r="CB8" s="172">
        <v>1211</v>
      </c>
      <c r="CC8" s="172">
        <v>965</v>
      </c>
      <c r="CD8" s="172">
        <v>1286</v>
      </c>
    </row>
    <row r="9" spans="1:82" x14ac:dyDescent="0.3">
      <c r="A9" s="190" t="s">
        <v>304</v>
      </c>
      <c r="B9" s="174">
        <v>111.3</v>
      </c>
      <c r="C9" s="174">
        <v>47.4</v>
      </c>
      <c r="D9" s="174">
        <v>115.4</v>
      </c>
      <c r="E9" s="174">
        <v>57.2</v>
      </c>
      <c r="F9" s="174">
        <v>331.3</v>
      </c>
      <c r="G9" s="174">
        <v>132.1</v>
      </c>
      <c r="H9" s="174">
        <v>47.3</v>
      </c>
      <c r="I9" s="174">
        <v>170.2</v>
      </c>
      <c r="J9" s="174">
        <v>86.8</v>
      </c>
      <c r="K9" s="174">
        <v>436.4</v>
      </c>
      <c r="L9" s="174">
        <v>177.6</v>
      </c>
      <c r="M9" s="174">
        <v>62.7</v>
      </c>
      <c r="N9" s="174">
        <v>199.9</v>
      </c>
      <c r="O9" s="174">
        <v>54.6</v>
      </c>
      <c r="P9" s="174">
        <v>494.7</v>
      </c>
      <c r="Q9" s="174">
        <v>203.3</v>
      </c>
      <c r="R9" s="174">
        <v>42</v>
      </c>
      <c r="S9" s="174">
        <v>221</v>
      </c>
      <c r="T9" s="174">
        <v>44</v>
      </c>
      <c r="U9" s="170">
        <v>510.3</v>
      </c>
      <c r="V9" s="174">
        <v>232</v>
      </c>
      <c r="W9" s="174">
        <v>82</v>
      </c>
      <c r="X9" s="174">
        <v>243</v>
      </c>
      <c r="Y9" s="174">
        <v>92</v>
      </c>
      <c r="Z9" s="170">
        <v>649</v>
      </c>
      <c r="AA9" s="174">
        <v>244</v>
      </c>
      <c r="AB9" s="174">
        <v>96</v>
      </c>
      <c r="AC9" s="170">
        <v>340</v>
      </c>
      <c r="AD9" s="174">
        <v>243</v>
      </c>
      <c r="AE9" s="174">
        <v>97</v>
      </c>
      <c r="AF9" s="174">
        <v>240</v>
      </c>
      <c r="AG9" s="174">
        <v>101</v>
      </c>
      <c r="AH9" s="179">
        <v>681</v>
      </c>
      <c r="AI9" s="174">
        <v>262</v>
      </c>
      <c r="AJ9" s="174">
        <v>98</v>
      </c>
      <c r="AK9" s="174">
        <v>257</v>
      </c>
      <c r="AL9" s="172">
        <v>104</v>
      </c>
      <c r="AM9" s="180">
        <v>721</v>
      </c>
      <c r="AN9" s="138">
        <v>237</v>
      </c>
      <c r="AO9" s="138">
        <v>104</v>
      </c>
      <c r="AP9" s="138">
        <v>221</v>
      </c>
      <c r="AQ9" s="138">
        <v>107</v>
      </c>
      <c r="AR9" s="179">
        <v>669</v>
      </c>
      <c r="AS9" s="138">
        <v>231</v>
      </c>
      <c r="AT9" s="138">
        <v>107</v>
      </c>
      <c r="AU9" s="138">
        <v>242</v>
      </c>
      <c r="AV9" s="138">
        <v>109</v>
      </c>
      <c r="AW9" s="179">
        <v>689</v>
      </c>
      <c r="AX9" s="138">
        <v>254</v>
      </c>
      <c r="AY9" s="191">
        <v>103.6</v>
      </c>
      <c r="AZ9" s="191">
        <v>258.7</v>
      </c>
      <c r="BA9" s="191">
        <v>104</v>
      </c>
      <c r="BB9" s="179">
        <v>720.3</v>
      </c>
      <c r="BC9" s="191">
        <v>125</v>
      </c>
      <c r="BD9" s="191">
        <v>99</v>
      </c>
      <c r="BE9" s="191">
        <v>181</v>
      </c>
      <c r="BF9" s="191">
        <v>121</v>
      </c>
      <c r="BG9" s="179">
        <v>526</v>
      </c>
      <c r="BH9" s="191">
        <v>172.6</v>
      </c>
      <c r="BI9" s="191">
        <v>122</v>
      </c>
      <c r="BJ9" s="191">
        <v>157</v>
      </c>
      <c r="BK9" s="191">
        <v>114</v>
      </c>
      <c r="BL9" s="179">
        <v>565.6</v>
      </c>
      <c r="BM9" s="191">
        <v>179</v>
      </c>
      <c r="BN9" s="191">
        <v>101</v>
      </c>
      <c r="BO9" s="191">
        <v>275</v>
      </c>
      <c r="BP9" s="191">
        <v>489</v>
      </c>
      <c r="BQ9" s="179">
        <v>1044</v>
      </c>
      <c r="BR9" s="191">
        <v>427.8</v>
      </c>
      <c r="BS9" s="191">
        <v>350.8</v>
      </c>
      <c r="BT9" s="191">
        <v>297</v>
      </c>
      <c r="BU9" s="191">
        <v>443</v>
      </c>
      <c r="BV9" s="179">
        <v>1518.6</v>
      </c>
      <c r="BW9" s="172">
        <v>294</v>
      </c>
      <c r="BX9" s="172">
        <v>620</v>
      </c>
      <c r="BY9" s="172">
        <v>517</v>
      </c>
      <c r="BZ9" s="172">
        <v>549</v>
      </c>
      <c r="CA9" s="179">
        <v>1980</v>
      </c>
      <c r="CB9" s="172">
        <v>540</v>
      </c>
      <c r="CC9" s="172">
        <v>549</v>
      </c>
      <c r="CD9" s="172">
        <v>517</v>
      </c>
    </row>
    <row r="10" spans="1:82" x14ac:dyDescent="0.3">
      <c r="A10" s="190" t="s">
        <v>309</v>
      </c>
      <c r="B10" s="174">
        <v>7.9</v>
      </c>
      <c r="C10" s="174">
        <v>2.4</v>
      </c>
      <c r="D10" s="174">
        <v>10</v>
      </c>
      <c r="E10" s="174">
        <v>1.8</v>
      </c>
      <c r="F10" s="174">
        <v>22.1</v>
      </c>
      <c r="G10" s="174">
        <v>6.5</v>
      </c>
      <c r="H10" s="174">
        <v>0.8</v>
      </c>
      <c r="I10" s="174">
        <v>7.7</v>
      </c>
      <c r="J10" s="174">
        <v>0.7</v>
      </c>
      <c r="K10" s="174">
        <v>15.7</v>
      </c>
      <c r="L10" s="174">
        <v>14</v>
      </c>
      <c r="M10" s="174">
        <v>1.7</v>
      </c>
      <c r="N10" s="174">
        <v>22.2</v>
      </c>
      <c r="O10" s="174">
        <v>1</v>
      </c>
      <c r="P10" s="174">
        <v>39</v>
      </c>
      <c r="Q10" s="174">
        <v>13.4</v>
      </c>
      <c r="R10" s="174">
        <v>0</v>
      </c>
      <c r="S10" s="174">
        <v>10</v>
      </c>
      <c r="T10" s="174">
        <v>1</v>
      </c>
      <c r="U10" s="170">
        <v>25</v>
      </c>
      <c r="V10" s="174">
        <v>8</v>
      </c>
      <c r="W10" s="174">
        <v>0</v>
      </c>
      <c r="X10" s="174">
        <v>8</v>
      </c>
      <c r="Y10" s="174">
        <v>1</v>
      </c>
      <c r="Z10" s="170">
        <v>17</v>
      </c>
      <c r="AA10" s="174">
        <v>7</v>
      </c>
      <c r="AB10" s="174">
        <v>0</v>
      </c>
      <c r="AC10" s="170">
        <v>7</v>
      </c>
      <c r="AD10" s="174">
        <v>5</v>
      </c>
      <c r="AE10" s="174">
        <v>3</v>
      </c>
      <c r="AF10" s="174">
        <v>4</v>
      </c>
      <c r="AG10" s="174">
        <v>3</v>
      </c>
      <c r="AH10" s="179">
        <v>15</v>
      </c>
      <c r="AI10" s="174">
        <v>2</v>
      </c>
      <c r="AJ10" s="174">
        <v>3</v>
      </c>
      <c r="AK10" s="174">
        <v>2</v>
      </c>
      <c r="AL10" s="172">
        <v>2</v>
      </c>
      <c r="AM10" s="180">
        <v>9</v>
      </c>
      <c r="AN10" s="138">
        <v>1</v>
      </c>
      <c r="AO10" s="138">
        <v>2</v>
      </c>
      <c r="AP10" s="138">
        <v>2</v>
      </c>
      <c r="AQ10" s="138">
        <v>1</v>
      </c>
      <c r="AR10" s="179">
        <v>6</v>
      </c>
      <c r="AS10" s="138">
        <v>2</v>
      </c>
      <c r="AT10" s="172">
        <v>0</v>
      </c>
      <c r="AU10" s="138">
        <v>2</v>
      </c>
      <c r="AV10" s="172">
        <v>0</v>
      </c>
      <c r="AW10" s="179">
        <v>4</v>
      </c>
      <c r="AX10" s="172">
        <v>1.5</v>
      </c>
      <c r="AY10" s="172">
        <v>0.3</v>
      </c>
      <c r="AZ10" s="172">
        <v>0.2</v>
      </c>
      <c r="BA10" s="172">
        <v>21</v>
      </c>
      <c r="BB10" s="179">
        <v>23</v>
      </c>
      <c r="BC10" s="172">
        <v>47</v>
      </c>
      <c r="BD10" s="172">
        <v>0</v>
      </c>
      <c r="BE10" s="172">
        <v>18</v>
      </c>
      <c r="BF10" s="172">
        <v>0</v>
      </c>
      <c r="BG10" s="179">
        <v>65</v>
      </c>
      <c r="BH10" s="172">
        <v>1.2</v>
      </c>
      <c r="BI10" s="172">
        <v>0</v>
      </c>
      <c r="BJ10" s="172">
        <v>8</v>
      </c>
      <c r="BK10" s="189">
        <v>0</v>
      </c>
      <c r="BL10" s="179">
        <v>9.1999999999999993</v>
      </c>
      <c r="BM10" s="189">
        <v>2</v>
      </c>
      <c r="BN10" s="189">
        <v>0</v>
      </c>
      <c r="BO10" s="189">
        <v>3</v>
      </c>
      <c r="BP10" s="189">
        <v>28</v>
      </c>
      <c r="BQ10" s="179">
        <v>33</v>
      </c>
      <c r="BR10" s="189">
        <v>1.1000000000000001</v>
      </c>
      <c r="BS10" s="189">
        <v>28.3</v>
      </c>
      <c r="BT10" s="189">
        <v>0.8</v>
      </c>
      <c r="BU10" s="189">
        <v>2</v>
      </c>
      <c r="BV10" s="179">
        <v>32.200000000000003</v>
      </c>
      <c r="BW10" s="172">
        <v>28</v>
      </c>
      <c r="BX10" s="172">
        <v>31</v>
      </c>
      <c r="BY10" s="172">
        <v>11</v>
      </c>
      <c r="BZ10" s="172">
        <v>7</v>
      </c>
      <c r="CA10" s="179">
        <v>77</v>
      </c>
      <c r="CB10" s="172">
        <v>10.91</v>
      </c>
      <c r="CC10" s="172">
        <v>8</v>
      </c>
      <c r="CD10" s="172">
        <v>11</v>
      </c>
    </row>
    <row r="11" spans="1:82" x14ac:dyDescent="0.3">
      <c r="A11" s="188" t="s">
        <v>308</v>
      </c>
      <c r="B11" s="187">
        <v>275.7</v>
      </c>
      <c r="C11" s="187">
        <v>305.2</v>
      </c>
      <c r="D11" s="187">
        <v>277.10000000000002</v>
      </c>
      <c r="E11" s="187">
        <v>329.9</v>
      </c>
      <c r="F11" s="187">
        <v>1187.8999999999999</v>
      </c>
      <c r="G11" s="187">
        <v>252.3</v>
      </c>
      <c r="H11" s="187">
        <v>259.7</v>
      </c>
      <c r="I11" s="187">
        <v>323.99999999999994</v>
      </c>
      <c r="J11" s="187">
        <v>384.3</v>
      </c>
      <c r="K11" s="187">
        <v>1220.3</v>
      </c>
      <c r="L11" s="187">
        <v>340.2</v>
      </c>
      <c r="M11" s="187">
        <v>269.8</v>
      </c>
      <c r="N11" s="187">
        <v>498.49999999999994</v>
      </c>
      <c r="O11" s="187">
        <v>311.10000000000002</v>
      </c>
      <c r="P11" s="187">
        <v>1419.6</v>
      </c>
      <c r="Q11" s="187">
        <v>482.59999999999997</v>
      </c>
      <c r="R11" s="187">
        <v>205</v>
      </c>
      <c r="S11" s="187">
        <v>637</v>
      </c>
      <c r="T11" s="187">
        <v>300</v>
      </c>
      <c r="U11" s="187">
        <v>1625.2</v>
      </c>
      <c r="V11" s="187">
        <v>850</v>
      </c>
      <c r="W11" s="187">
        <v>376</v>
      </c>
      <c r="X11" s="187">
        <v>926</v>
      </c>
      <c r="Y11" s="187">
        <v>1346</v>
      </c>
      <c r="Z11" s="187">
        <v>3498</v>
      </c>
      <c r="AA11" s="187">
        <v>963</v>
      </c>
      <c r="AB11" s="187">
        <v>504</v>
      </c>
      <c r="AC11" s="187">
        <v>1467</v>
      </c>
      <c r="AD11" s="187">
        <v>1085</v>
      </c>
      <c r="AE11" s="187">
        <v>513</v>
      </c>
      <c r="AF11" s="187">
        <v>1169</v>
      </c>
      <c r="AG11" s="187">
        <v>507</v>
      </c>
      <c r="AH11" s="185">
        <v>3274</v>
      </c>
      <c r="AI11" s="187">
        <v>1118</v>
      </c>
      <c r="AJ11" s="187">
        <v>506</v>
      </c>
      <c r="AK11" s="187">
        <v>5297</v>
      </c>
      <c r="AL11" s="187">
        <v>505</v>
      </c>
      <c r="AM11" s="186">
        <v>7426</v>
      </c>
      <c r="AN11" s="185">
        <v>1378</v>
      </c>
      <c r="AO11" s="185">
        <v>439</v>
      </c>
      <c r="AP11" s="185">
        <v>1403</v>
      </c>
      <c r="AQ11" s="185">
        <v>485</v>
      </c>
      <c r="AR11" s="185">
        <v>3705</v>
      </c>
      <c r="AS11" s="185">
        <v>1873</v>
      </c>
      <c r="AT11" s="185">
        <v>476</v>
      </c>
      <c r="AU11" s="185">
        <v>1867</v>
      </c>
      <c r="AV11" s="185">
        <v>543</v>
      </c>
      <c r="AW11" s="185">
        <v>4759</v>
      </c>
      <c r="AX11" s="185">
        <v>1904.8</v>
      </c>
      <c r="AY11" s="185">
        <v>612.69999999999993</v>
      </c>
      <c r="AZ11" s="185">
        <v>8427.8000000000011</v>
      </c>
      <c r="BA11" s="185">
        <v>672</v>
      </c>
      <c r="BB11" s="185">
        <v>11617.3</v>
      </c>
      <c r="BC11" s="185">
        <v>1784</v>
      </c>
      <c r="BD11" s="185">
        <v>917</v>
      </c>
      <c r="BE11" s="185">
        <v>2068</v>
      </c>
      <c r="BF11" s="185">
        <v>731</v>
      </c>
      <c r="BG11" s="185">
        <v>5500</v>
      </c>
      <c r="BH11" s="185">
        <v>1754.3999999999999</v>
      </c>
      <c r="BI11" s="185">
        <v>735</v>
      </c>
      <c r="BJ11" s="185">
        <v>1545</v>
      </c>
      <c r="BK11" s="185">
        <v>693</v>
      </c>
      <c r="BL11" s="185">
        <v>4727.4000000000005</v>
      </c>
      <c r="BM11" s="185">
        <v>1753</v>
      </c>
      <c r="BN11" s="185">
        <v>826</v>
      </c>
      <c r="BO11" s="185">
        <v>1464</v>
      </c>
      <c r="BP11" s="185">
        <v>12477</v>
      </c>
      <c r="BQ11" s="185">
        <v>16520</v>
      </c>
      <c r="BR11" s="185">
        <v>1528.8</v>
      </c>
      <c r="BS11" s="185">
        <v>1207.7</v>
      </c>
      <c r="BT11" s="185">
        <v>1148.8</v>
      </c>
      <c r="BU11" s="185">
        <v>1161</v>
      </c>
      <c r="BV11" s="185">
        <v>5046.3</v>
      </c>
      <c r="BW11" s="185">
        <v>1156</v>
      </c>
      <c r="BX11" s="185">
        <v>1360</v>
      </c>
      <c r="BY11" s="185">
        <v>1771</v>
      </c>
      <c r="BZ11" s="185">
        <v>1174</v>
      </c>
      <c r="CA11" s="185">
        <v>5461</v>
      </c>
      <c r="CB11" s="185">
        <v>1761.91</v>
      </c>
      <c r="CC11" s="185">
        <v>1522</v>
      </c>
      <c r="CD11" s="185">
        <v>1814</v>
      </c>
    </row>
    <row r="12" spans="1:82" ht="6.75" customHeight="1" x14ac:dyDescent="0.3">
      <c r="A12" s="138"/>
      <c r="B12" s="174"/>
      <c r="C12" s="174"/>
      <c r="D12" s="174"/>
      <c r="E12" s="174"/>
      <c r="F12" s="174"/>
      <c r="G12" s="174"/>
      <c r="H12" s="174"/>
      <c r="I12" s="174"/>
      <c r="J12" s="174"/>
      <c r="K12" s="174"/>
      <c r="L12" s="174"/>
      <c r="M12" s="174"/>
      <c r="N12" s="174"/>
      <c r="O12" s="174"/>
      <c r="P12" s="174"/>
      <c r="Q12" s="174"/>
      <c r="R12" s="174"/>
      <c r="S12" s="174"/>
      <c r="T12" s="174"/>
      <c r="U12" s="170"/>
      <c r="V12" s="174"/>
      <c r="W12" s="174"/>
      <c r="X12" s="174"/>
      <c r="Y12" s="174"/>
      <c r="Z12" s="170"/>
      <c r="AA12" s="174"/>
      <c r="AB12" s="174"/>
      <c r="AC12" s="170"/>
      <c r="AD12" s="174"/>
      <c r="AE12" s="174"/>
      <c r="AF12" s="174"/>
      <c r="AG12" s="174"/>
      <c r="AH12" s="171"/>
      <c r="AI12" s="174"/>
      <c r="AJ12" s="174"/>
      <c r="AK12" s="174"/>
      <c r="AL12" s="174"/>
      <c r="AM12" s="173"/>
      <c r="AN12" s="138"/>
      <c r="AO12" s="138"/>
      <c r="AP12" s="138"/>
      <c r="AQ12" s="138"/>
      <c r="AR12" s="171"/>
      <c r="AS12" s="138"/>
      <c r="AT12" s="138"/>
      <c r="AU12" s="138"/>
      <c r="AV12" s="138"/>
      <c r="AW12" s="171"/>
      <c r="AX12" s="138"/>
      <c r="AY12" s="138"/>
      <c r="AZ12" s="138"/>
      <c r="BA12" s="138"/>
      <c r="BB12" s="171"/>
      <c r="BC12" s="138"/>
      <c r="BD12" s="138"/>
      <c r="BE12" s="138"/>
      <c r="BF12" s="138"/>
      <c r="BG12" s="171"/>
      <c r="BH12" s="138"/>
      <c r="BI12" s="138"/>
      <c r="BJ12" s="138"/>
      <c r="BK12" s="138"/>
      <c r="BL12" s="171"/>
      <c r="BM12" s="138"/>
      <c r="BN12" s="138"/>
      <c r="BO12" s="138"/>
      <c r="BP12" s="138"/>
      <c r="BQ12" s="171"/>
      <c r="BR12" s="138"/>
      <c r="BS12" s="138"/>
      <c r="BT12" s="138"/>
      <c r="BU12" s="138"/>
      <c r="BV12" s="171"/>
      <c r="BW12" s="138"/>
      <c r="BX12" s="138"/>
      <c r="BY12" s="138"/>
      <c r="BZ12" s="138"/>
      <c r="CA12" s="171"/>
      <c r="CB12" s="138"/>
      <c r="CC12" s="138"/>
      <c r="CD12" s="138"/>
    </row>
    <row r="13" spans="1:82" x14ac:dyDescent="0.3">
      <c r="A13" s="171" t="s">
        <v>307</v>
      </c>
      <c r="B13" s="174"/>
      <c r="C13" s="174"/>
      <c r="D13" s="174"/>
      <c r="E13" s="174"/>
      <c r="F13" s="174"/>
      <c r="G13" s="174"/>
      <c r="H13" s="174"/>
      <c r="I13" s="174"/>
      <c r="J13" s="174"/>
      <c r="K13" s="174"/>
      <c r="L13" s="174"/>
      <c r="M13" s="174"/>
      <c r="N13" s="174"/>
      <c r="O13" s="174"/>
      <c r="P13" s="174"/>
      <c r="Q13" s="174"/>
      <c r="R13" s="174"/>
      <c r="S13" s="174"/>
      <c r="T13" s="174"/>
      <c r="U13" s="170"/>
      <c r="V13" s="174"/>
      <c r="W13" s="174"/>
      <c r="X13" s="174"/>
      <c r="Y13" s="174"/>
      <c r="Z13" s="170"/>
      <c r="AA13" s="174"/>
      <c r="AB13" s="174"/>
      <c r="AC13" s="170"/>
      <c r="AD13" s="174"/>
      <c r="AE13" s="174"/>
      <c r="AF13" s="174"/>
      <c r="AG13" s="174"/>
      <c r="AH13" s="171"/>
      <c r="AI13" s="174"/>
      <c r="AJ13" s="174"/>
      <c r="AK13" s="174"/>
      <c r="AL13" s="174"/>
      <c r="AM13" s="173"/>
      <c r="AN13" s="138"/>
      <c r="AO13" s="138"/>
      <c r="AP13" s="138"/>
      <c r="AQ13" s="138"/>
      <c r="AR13" s="171"/>
      <c r="AS13" s="138"/>
      <c r="AT13" s="138"/>
      <c r="AU13" s="138"/>
      <c r="AV13" s="138"/>
      <c r="AW13" s="171"/>
      <c r="AX13" s="138"/>
      <c r="AY13" s="138"/>
      <c r="AZ13" s="138"/>
      <c r="BA13" s="138"/>
      <c r="BB13" s="171"/>
      <c r="BC13" s="138"/>
      <c r="BD13" s="138"/>
      <c r="BE13" s="138"/>
      <c r="BF13" s="138"/>
      <c r="BG13" s="171"/>
      <c r="BH13" s="138"/>
      <c r="BI13" s="138"/>
      <c r="BJ13" s="138"/>
      <c r="BK13" s="138"/>
      <c r="BL13" s="171"/>
      <c r="BM13" s="138"/>
      <c r="BN13" s="138"/>
      <c r="BO13" s="138"/>
      <c r="BP13" s="138"/>
      <c r="BQ13" s="171"/>
      <c r="BR13" s="138"/>
      <c r="BS13" s="138"/>
      <c r="BT13" s="138"/>
      <c r="BU13" s="138"/>
      <c r="BV13" s="171"/>
      <c r="BW13" s="138"/>
      <c r="BX13" s="138"/>
      <c r="BY13" s="138"/>
      <c r="BZ13" s="138"/>
      <c r="CA13" s="171"/>
      <c r="CB13" s="138"/>
      <c r="CC13" s="138"/>
      <c r="CD13" s="138"/>
    </row>
    <row r="14" spans="1:82" ht="4.25" customHeight="1" x14ac:dyDescent="0.3">
      <c r="A14" s="138"/>
      <c r="B14" s="174"/>
      <c r="C14" s="174"/>
      <c r="D14" s="174"/>
      <c r="E14" s="174"/>
      <c r="F14" s="174"/>
      <c r="G14" s="174"/>
      <c r="H14" s="174"/>
      <c r="I14" s="174"/>
      <c r="J14" s="174"/>
      <c r="K14" s="174"/>
      <c r="L14" s="174"/>
      <c r="M14" s="174"/>
      <c r="N14" s="174"/>
      <c r="O14" s="174"/>
      <c r="P14" s="174"/>
      <c r="Q14" s="174"/>
      <c r="R14" s="174"/>
      <c r="S14" s="174"/>
      <c r="T14" s="174"/>
      <c r="U14" s="170"/>
      <c r="V14" s="174"/>
      <c r="W14" s="174"/>
      <c r="X14" s="174"/>
      <c r="Y14" s="174"/>
      <c r="Z14" s="170"/>
      <c r="AA14" s="174"/>
      <c r="AB14" s="174"/>
      <c r="AC14" s="170"/>
      <c r="AD14" s="174"/>
      <c r="AE14" s="174"/>
      <c r="AF14" s="174"/>
      <c r="AG14" s="174"/>
      <c r="AH14" s="171"/>
      <c r="AI14" s="174"/>
      <c r="AJ14" s="174"/>
      <c r="AK14" s="174"/>
      <c r="AL14" s="174"/>
      <c r="AM14" s="173"/>
      <c r="AN14" s="138"/>
      <c r="AO14" s="138"/>
      <c r="AP14" s="138"/>
      <c r="AQ14" s="138"/>
      <c r="AR14" s="171"/>
      <c r="AS14" s="138"/>
      <c r="AT14" s="138"/>
      <c r="AU14" s="138"/>
      <c r="AV14" s="138"/>
      <c r="AW14" s="171"/>
      <c r="AX14" s="138"/>
      <c r="AY14" s="138"/>
      <c r="AZ14" s="138"/>
      <c r="BA14" s="138"/>
      <c r="BB14" s="171"/>
      <c r="BC14" s="138"/>
      <c r="BD14" s="138"/>
      <c r="BE14" s="138"/>
      <c r="BF14" s="138"/>
      <c r="BG14" s="171"/>
      <c r="BH14" s="138"/>
      <c r="BI14" s="138"/>
      <c r="BJ14" s="138"/>
      <c r="BK14" s="138"/>
      <c r="BL14" s="171"/>
      <c r="BM14" s="138"/>
      <c r="BN14" s="138"/>
      <c r="BO14" s="138"/>
      <c r="BP14" s="138"/>
      <c r="BQ14" s="171"/>
      <c r="BR14" s="138"/>
      <c r="BS14" s="138"/>
      <c r="BT14" s="138"/>
      <c r="BU14" s="138"/>
      <c r="BV14" s="171"/>
      <c r="BW14" s="138"/>
      <c r="BX14" s="138"/>
      <c r="BY14" s="138"/>
      <c r="BZ14" s="138"/>
      <c r="CA14" s="171"/>
      <c r="CB14" s="138"/>
      <c r="CC14" s="138"/>
      <c r="CD14" s="138"/>
    </row>
    <row r="15" spans="1:82" ht="15.5" x14ac:dyDescent="0.3">
      <c r="A15" s="138" t="s">
        <v>306</v>
      </c>
      <c r="B15" s="174">
        <v>374.3</v>
      </c>
      <c r="C15" s="174">
        <v>988.4</v>
      </c>
      <c r="D15" s="174">
        <v>500</v>
      </c>
      <c r="E15" s="174">
        <v>1425.1</v>
      </c>
      <c r="F15" s="174">
        <v>3287.8</v>
      </c>
      <c r="G15" s="174">
        <v>1157.5999999999999</v>
      </c>
      <c r="H15" s="174">
        <v>846.09999999999991</v>
      </c>
      <c r="I15" s="174">
        <v>488</v>
      </c>
      <c r="J15" s="174">
        <v>1396.5</v>
      </c>
      <c r="K15" s="174">
        <v>3888.2</v>
      </c>
      <c r="L15" s="174">
        <v>1631.9</v>
      </c>
      <c r="M15" s="174">
        <v>1000</v>
      </c>
      <c r="N15" s="174">
        <v>1412.3</v>
      </c>
      <c r="O15" s="174">
        <v>2173</v>
      </c>
      <c r="P15" s="174">
        <v>6217.2</v>
      </c>
      <c r="Q15" s="174">
        <v>750</v>
      </c>
      <c r="R15" s="174">
        <v>1500</v>
      </c>
      <c r="S15" s="174">
        <v>406</v>
      </c>
      <c r="T15" s="174">
        <v>1812</v>
      </c>
      <c r="U15" s="170">
        <v>4468</v>
      </c>
      <c r="V15" s="174">
        <v>1000</v>
      </c>
      <c r="W15" s="174">
        <v>5110</v>
      </c>
      <c r="X15" s="174">
        <v>1960</v>
      </c>
      <c r="Y15" s="174">
        <v>2240</v>
      </c>
      <c r="Z15" s="170">
        <v>10310</v>
      </c>
      <c r="AA15" s="174">
        <v>1391</v>
      </c>
      <c r="AB15" s="174">
        <v>6946</v>
      </c>
      <c r="AC15" s="170">
        <v>8337</v>
      </c>
      <c r="AD15" s="174">
        <v>289</v>
      </c>
      <c r="AE15" s="174">
        <v>722</v>
      </c>
      <c r="AF15" s="174">
        <v>2193</v>
      </c>
      <c r="AG15" s="174">
        <v>407</v>
      </c>
      <c r="AH15" s="179">
        <v>3611</v>
      </c>
      <c r="AI15" s="174">
        <v>5351</v>
      </c>
      <c r="AJ15" s="174">
        <v>704</v>
      </c>
      <c r="AK15" s="174">
        <v>1531</v>
      </c>
      <c r="AL15" s="172">
        <v>3322</v>
      </c>
      <c r="AM15" s="180">
        <v>10908</v>
      </c>
      <c r="AN15" s="184">
        <v>0</v>
      </c>
      <c r="AO15" s="172">
        <v>2365</v>
      </c>
      <c r="AP15" s="172">
        <v>4825</v>
      </c>
      <c r="AQ15" s="172">
        <v>369</v>
      </c>
      <c r="AR15" s="179">
        <v>7559</v>
      </c>
      <c r="AS15" s="172">
        <v>399</v>
      </c>
      <c r="AT15" s="172">
        <v>4825</v>
      </c>
      <c r="AU15" s="172">
        <v>405</v>
      </c>
      <c r="AV15" s="172">
        <v>6101</v>
      </c>
      <c r="AW15" s="179">
        <v>11730</v>
      </c>
      <c r="AX15" s="172">
        <v>619</v>
      </c>
      <c r="AY15" s="172">
        <v>6819</v>
      </c>
      <c r="AZ15" s="172">
        <v>530</v>
      </c>
      <c r="BA15" s="172">
        <v>4646</v>
      </c>
      <c r="BB15" s="179">
        <v>12614</v>
      </c>
      <c r="BC15" s="172">
        <v>3944</v>
      </c>
      <c r="BD15" s="172">
        <v>4329</v>
      </c>
      <c r="BE15" s="172">
        <v>457</v>
      </c>
      <c r="BF15" s="172">
        <v>5022</v>
      </c>
      <c r="BG15" s="179">
        <v>13752</v>
      </c>
      <c r="BH15" s="172">
        <v>2962</v>
      </c>
      <c r="BI15" s="172">
        <v>6974</v>
      </c>
      <c r="BJ15" s="172">
        <v>6042</v>
      </c>
      <c r="BK15" s="172">
        <v>1660</v>
      </c>
      <c r="BL15" s="179">
        <v>17638</v>
      </c>
      <c r="BM15" s="172">
        <v>6031</v>
      </c>
      <c r="BN15" s="172">
        <v>7343</v>
      </c>
      <c r="BO15" s="172">
        <v>41</v>
      </c>
      <c r="BP15" s="172">
        <v>6073</v>
      </c>
      <c r="BQ15" s="179">
        <v>19488</v>
      </c>
      <c r="BR15" s="172">
        <v>2450</v>
      </c>
      <c r="BS15" s="172">
        <v>4679</v>
      </c>
      <c r="BT15" s="172">
        <v>5869</v>
      </c>
      <c r="BU15" s="172">
        <v>5457</v>
      </c>
      <c r="BV15" s="179">
        <v>18455</v>
      </c>
      <c r="BW15" s="172">
        <v>5433</v>
      </c>
      <c r="BX15" s="172">
        <v>10080</v>
      </c>
      <c r="BY15" s="172">
        <v>3051</v>
      </c>
      <c r="BZ15" s="172">
        <v>18061</v>
      </c>
      <c r="CA15" s="179">
        <v>36625</v>
      </c>
      <c r="CB15" s="172">
        <v>6104</v>
      </c>
      <c r="CC15" s="172">
        <v>4691</v>
      </c>
      <c r="CD15" s="172">
        <v>12786</v>
      </c>
    </row>
    <row r="16" spans="1:82" ht="7.5" customHeight="1" x14ac:dyDescent="0.3">
      <c r="A16" s="138" t="s">
        <v>305</v>
      </c>
      <c r="B16" s="174"/>
      <c r="C16" s="174"/>
      <c r="D16" s="174"/>
      <c r="E16" s="174"/>
      <c r="F16" s="174"/>
      <c r="G16" s="174"/>
      <c r="H16" s="174"/>
      <c r="I16" s="174"/>
      <c r="J16" s="174"/>
      <c r="K16" s="174"/>
      <c r="L16" s="174"/>
      <c r="M16" s="174"/>
      <c r="N16" s="174"/>
      <c r="O16" s="174"/>
      <c r="P16" s="174"/>
      <c r="Q16" s="174"/>
      <c r="R16" s="174"/>
      <c r="S16" s="174"/>
      <c r="T16" s="174"/>
      <c r="U16" s="170"/>
      <c r="V16" s="174"/>
      <c r="W16" s="174"/>
      <c r="X16" s="174"/>
      <c r="Y16" s="174"/>
      <c r="Z16" s="170"/>
      <c r="AA16" s="174"/>
      <c r="AB16" s="174"/>
      <c r="AC16" s="170"/>
      <c r="AD16" s="174"/>
      <c r="AE16" s="174"/>
      <c r="AF16" s="174"/>
      <c r="AG16" s="174"/>
      <c r="AH16" s="171"/>
      <c r="AI16" s="174"/>
      <c r="AJ16" s="174"/>
      <c r="AK16" s="174"/>
      <c r="AL16" s="174"/>
      <c r="AM16" s="173"/>
      <c r="AN16" s="138"/>
      <c r="AO16" s="138"/>
      <c r="AP16" s="138"/>
      <c r="AQ16" s="138"/>
      <c r="AR16" s="171"/>
      <c r="AS16" s="138"/>
      <c r="AT16" s="138"/>
      <c r="AU16" s="138"/>
      <c r="AV16" s="138"/>
      <c r="AW16" s="171"/>
      <c r="AX16" s="138"/>
      <c r="AY16" s="138"/>
      <c r="AZ16" s="138"/>
      <c r="BA16" s="138"/>
      <c r="BB16" s="171"/>
      <c r="BC16" s="138"/>
      <c r="BD16" s="138"/>
      <c r="BE16" s="138"/>
      <c r="BF16" s="138"/>
      <c r="BG16" s="171"/>
      <c r="BH16" s="138"/>
      <c r="BI16" s="138"/>
      <c r="BJ16" s="138"/>
      <c r="BK16" s="138"/>
      <c r="BL16" s="171"/>
      <c r="BM16" s="138"/>
      <c r="BN16" s="138"/>
      <c r="BO16" s="138"/>
      <c r="BP16" s="138"/>
      <c r="BQ16" s="171"/>
      <c r="BR16" s="138"/>
      <c r="BS16" s="138"/>
      <c r="BT16" s="138"/>
      <c r="BU16" s="138"/>
      <c r="BV16" s="171"/>
      <c r="BW16" s="138"/>
      <c r="BX16" s="138"/>
      <c r="BY16" s="138"/>
      <c r="BZ16" s="138"/>
      <c r="CA16" s="171"/>
      <c r="CB16" s="138"/>
      <c r="CC16" s="138"/>
      <c r="CD16" s="138"/>
    </row>
    <row r="17" spans="1:82" s="156" customFormat="1" x14ac:dyDescent="0.3">
      <c r="A17" s="171" t="s">
        <v>304</v>
      </c>
      <c r="B17" s="170">
        <v>2460.4</v>
      </c>
      <c r="C17" s="170">
        <v>2576.6999999999998</v>
      </c>
      <c r="D17" s="170">
        <v>1996.1999999999998</v>
      </c>
      <c r="E17" s="170">
        <v>2447.5</v>
      </c>
      <c r="F17" s="170">
        <v>9480.7999999999993</v>
      </c>
      <c r="G17" s="170">
        <v>2206.1</v>
      </c>
      <c r="H17" s="170">
        <v>2454.5</v>
      </c>
      <c r="I17" s="170">
        <v>1968.3</v>
      </c>
      <c r="J17" s="170">
        <v>2401.1</v>
      </c>
      <c r="K17" s="170">
        <v>9030</v>
      </c>
      <c r="L17" s="170">
        <v>2219.9</v>
      </c>
      <c r="M17" s="170">
        <v>2233.6999999999998</v>
      </c>
      <c r="N17" s="170">
        <v>2293.4</v>
      </c>
      <c r="O17" s="170">
        <v>2537.9</v>
      </c>
      <c r="P17" s="170">
        <v>9284.9</v>
      </c>
      <c r="Q17" s="170">
        <v>2169.4</v>
      </c>
      <c r="R17" s="170">
        <v>2131</v>
      </c>
      <c r="S17" s="170">
        <v>2270</v>
      </c>
      <c r="T17" s="170">
        <v>2229</v>
      </c>
      <c r="U17" s="170">
        <v>8800</v>
      </c>
      <c r="V17" s="170">
        <v>2322</v>
      </c>
      <c r="W17" s="170">
        <v>2085</v>
      </c>
      <c r="X17" s="170">
        <v>2443</v>
      </c>
      <c r="Y17" s="170">
        <v>2227</v>
      </c>
      <c r="Z17" s="170">
        <v>9077</v>
      </c>
      <c r="AA17" s="170">
        <v>2418</v>
      </c>
      <c r="AB17" s="170">
        <v>1973</v>
      </c>
      <c r="AC17" s="170">
        <v>4391</v>
      </c>
      <c r="AD17" s="170">
        <v>2408</v>
      </c>
      <c r="AE17" s="170">
        <v>2022</v>
      </c>
      <c r="AF17" s="170">
        <v>2443</v>
      </c>
      <c r="AG17" s="170">
        <v>2045</v>
      </c>
      <c r="AH17" s="168">
        <v>8918</v>
      </c>
      <c r="AI17" s="170">
        <v>2445</v>
      </c>
      <c r="AJ17" s="170">
        <v>2337</v>
      </c>
      <c r="AK17" s="170">
        <v>2517</v>
      </c>
      <c r="AL17" s="170">
        <v>2476</v>
      </c>
      <c r="AM17" s="169">
        <v>9775</v>
      </c>
      <c r="AN17" s="168">
        <v>2485</v>
      </c>
      <c r="AO17" s="168">
        <v>2363</v>
      </c>
      <c r="AP17" s="168">
        <v>2726</v>
      </c>
      <c r="AQ17" s="168">
        <v>2504</v>
      </c>
      <c r="AR17" s="168">
        <v>10078</v>
      </c>
      <c r="AS17" s="168">
        <v>2778</v>
      </c>
      <c r="AT17" s="168">
        <v>2600</v>
      </c>
      <c r="AU17" s="168">
        <v>2987</v>
      </c>
      <c r="AV17" s="168">
        <v>2780</v>
      </c>
      <c r="AW17" s="168">
        <v>11145</v>
      </c>
      <c r="AX17" s="168">
        <v>3230</v>
      </c>
      <c r="AY17" s="168">
        <v>2761</v>
      </c>
      <c r="AZ17" s="168">
        <v>3382</v>
      </c>
      <c r="BA17" s="168">
        <v>2806</v>
      </c>
      <c r="BB17" s="168">
        <v>12179</v>
      </c>
      <c r="BC17" s="168">
        <v>3323</v>
      </c>
      <c r="BD17" s="168">
        <v>2823</v>
      </c>
      <c r="BE17" s="168">
        <v>3023</v>
      </c>
      <c r="BF17" s="168">
        <v>2728</v>
      </c>
      <c r="BG17" s="168">
        <v>11897</v>
      </c>
      <c r="BH17" s="168">
        <v>2932</v>
      </c>
      <c r="BI17" s="168">
        <v>3019</v>
      </c>
      <c r="BJ17" s="168">
        <v>2964</v>
      </c>
      <c r="BK17" s="168">
        <v>2956</v>
      </c>
      <c r="BL17" s="168">
        <v>11871</v>
      </c>
      <c r="BM17" s="168">
        <v>3027</v>
      </c>
      <c r="BN17" s="168">
        <v>3007</v>
      </c>
      <c r="BO17" s="168">
        <v>3349</v>
      </c>
      <c r="BP17" s="168">
        <v>3689</v>
      </c>
      <c r="BQ17" s="168">
        <v>13072</v>
      </c>
      <c r="BR17" s="168">
        <v>3426</v>
      </c>
      <c r="BS17" s="168">
        <v>3834</v>
      </c>
      <c r="BT17" s="168">
        <v>3779</v>
      </c>
      <c r="BU17" s="168">
        <v>4108</v>
      </c>
      <c r="BV17" s="168">
        <v>15147</v>
      </c>
      <c r="BW17" s="168">
        <v>4118</v>
      </c>
      <c r="BX17" s="168">
        <v>4189</v>
      </c>
      <c r="BY17" s="168">
        <v>4690</v>
      </c>
      <c r="BZ17" s="168">
        <v>5076</v>
      </c>
      <c r="CA17" s="168">
        <v>18073</v>
      </c>
      <c r="CB17" s="168">
        <v>5438</v>
      </c>
      <c r="CC17" s="168">
        <v>5160</v>
      </c>
      <c r="CD17" s="168">
        <v>6250</v>
      </c>
    </row>
    <row r="18" spans="1:82" ht="16" x14ac:dyDescent="0.35">
      <c r="A18" s="177" t="s">
        <v>303</v>
      </c>
      <c r="B18" s="181">
        <v>763.5</v>
      </c>
      <c r="C18" s="181">
        <v>381.9</v>
      </c>
      <c r="D18" s="181">
        <v>371.2</v>
      </c>
      <c r="E18" s="181">
        <v>298.7</v>
      </c>
      <c r="F18" s="181">
        <v>1815.3000000000002</v>
      </c>
      <c r="G18" s="181">
        <v>331.2</v>
      </c>
      <c r="H18" s="181">
        <v>339.1</v>
      </c>
      <c r="I18" s="181">
        <v>192.2</v>
      </c>
      <c r="J18" s="181">
        <v>328.5</v>
      </c>
      <c r="K18" s="181">
        <v>1191</v>
      </c>
      <c r="L18" s="181">
        <v>332.9</v>
      </c>
      <c r="M18" s="181">
        <v>333.3</v>
      </c>
      <c r="N18" s="181">
        <v>356.6</v>
      </c>
      <c r="O18" s="181">
        <v>378.5</v>
      </c>
      <c r="P18" s="181">
        <v>1401.3000000000002</v>
      </c>
      <c r="Q18" s="181">
        <v>287.60000000000002</v>
      </c>
      <c r="R18" s="181">
        <v>240</v>
      </c>
      <c r="S18" s="181">
        <v>256</v>
      </c>
      <c r="T18" s="181">
        <v>202</v>
      </c>
      <c r="U18" s="182">
        <v>986</v>
      </c>
      <c r="V18" s="181">
        <v>214</v>
      </c>
      <c r="W18" s="181">
        <v>169</v>
      </c>
      <c r="X18" s="181">
        <v>205</v>
      </c>
      <c r="Y18" s="181">
        <v>194</v>
      </c>
      <c r="Z18" s="182">
        <v>782</v>
      </c>
      <c r="AA18" s="181">
        <v>121</v>
      </c>
      <c r="AB18" s="181">
        <v>130</v>
      </c>
      <c r="AC18" s="170">
        <v>251</v>
      </c>
      <c r="AD18" s="181">
        <v>97</v>
      </c>
      <c r="AE18" s="181">
        <v>131</v>
      </c>
      <c r="AF18" s="181">
        <v>115</v>
      </c>
      <c r="AG18" s="181">
        <v>106</v>
      </c>
      <c r="AH18" s="179">
        <v>449</v>
      </c>
      <c r="AI18" s="181">
        <v>132</v>
      </c>
      <c r="AJ18" s="181">
        <v>157</v>
      </c>
      <c r="AK18" s="181">
        <v>234</v>
      </c>
      <c r="AL18" s="178">
        <v>145</v>
      </c>
      <c r="AM18" s="180">
        <v>668</v>
      </c>
      <c r="AN18" s="178">
        <v>155</v>
      </c>
      <c r="AO18" s="178">
        <v>136</v>
      </c>
      <c r="AP18" s="178">
        <v>153</v>
      </c>
      <c r="AQ18" s="178">
        <v>198</v>
      </c>
      <c r="AR18" s="179">
        <v>642</v>
      </c>
      <c r="AS18" s="178">
        <v>154</v>
      </c>
      <c r="AT18" s="178">
        <v>153</v>
      </c>
      <c r="AU18" s="178">
        <v>218</v>
      </c>
      <c r="AV18" s="178">
        <v>212</v>
      </c>
      <c r="AW18" s="179">
        <v>737</v>
      </c>
      <c r="AX18" s="178">
        <v>306</v>
      </c>
      <c r="AY18" s="178">
        <v>202</v>
      </c>
      <c r="AZ18" s="178">
        <v>276</v>
      </c>
      <c r="BA18" s="178">
        <v>197</v>
      </c>
      <c r="BB18" s="179">
        <v>981</v>
      </c>
      <c r="BC18" s="178">
        <v>216</v>
      </c>
      <c r="BD18" s="178">
        <v>197</v>
      </c>
      <c r="BE18" s="178">
        <v>108</v>
      </c>
      <c r="BF18" s="178">
        <v>85</v>
      </c>
      <c r="BG18" s="179">
        <v>606</v>
      </c>
      <c r="BH18" s="178">
        <v>22</v>
      </c>
      <c r="BI18" s="178">
        <v>126</v>
      </c>
      <c r="BJ18" s="178">
        <v>40</v>
      </c>
      <c r="BK18" s="178">
        <v>81</v>
      </c>
      <c r="BL18" s="179">
        <v>269</v>
      </c>
      <c r="BM18" s="178">
        <v>50</v>
      </c>
      <c r="BN18" s="178">
        <v>136</v>
      </c>
      <c r="BO18" s="178">
        <v>80</v>
      </c>
      <c r="BP18" s="178">
        <v>377</v>
      </c>
      <c r="BQ18" s="179">
        <v>643</v>
      </c>
      <c r="BR18" s="178">
        <v>215</v>
      </c>
      <c r="BS18" s="178">
        <v>503</v>
      </c>
      <c r="BT18" s="178">
        <v>254</v>
      </c>
      <c r="BU18" s="178">
        <v>502</v>
      </c>
      <c r="BV18" s="179">
        <v>1474</v>
      </c>
      <c r="BW18" s="178">
        <v>315</v>
      </c>
      <c r="BX18" s="178">
        <v>530</v>
      </c>
      <c r="BY18" s="178">
        <v>479</v>
      </c>
      <c r="BZ18" s="178">
        <v>823</v>
      </c>
      <c r="CA18" s="179">
        <v>2147</v>
      </c>
      <c r="CB18" s="178">
        <v>882</v>
      </c>
      <c r="CC18" s="178">
        <v>938</v>
      </c>
      <c r="CD18" s="178">
        <v>1065</v>
      </c>
    </row>
    <row r="19" spans="1:82" ht="16" x14ac:dyDescent="0.35">
      <c r="A19" s="177" t="s">
        <v>302</v>
      </c>
      <c r="B19" s="181">
        <v>788.5</v>
      </c>
      <c r="C19" s="181">
        <v>1025.3</v>
      </c>
      <c r="D19" s="181">
        <v>731.6</v>
      </c>
      <c r="E19" s="181">
        <v>925.1</v>
      </c>
      <c r="F19" s="181">
        <v>3470.5</v>
      </c>
      <c r="G19" s="178">
        <v>753.6</v>
      </c>
      <c r="H19" s="178">
        <v>842.5</v>
      </c>
      <c r="I19" s="178">
        <v>597.79999999999995</v>
      </c>
      <c r="J19" s="178">
        <v>792.8</v>
      </c>
      <c r="K19" s="181">
        <v>2986.7</v>
      </c>
      <c r="L19" s="178">
        <v>585</v>
      </c>
      <c r="M19" s="178">
        <v>726.1</v>
      </c>
      <c r="N19" s="178">
        <v>539.6</v>
      </c>
      <c r="O19" s="178">
        <v>777.7</v>
      </c>
      <c r="P19" s="181">
        <v>2628.3999999999996</v>
      </c>
      <c r="Q19" s="178">
        <v>442.6</v>
      </c>
      <c r="R19" s="178">
        <v>637</v>
      </c>
      <c r="S19" s="178">
        <v>426</v>
      </c>
      <c r="T19" s="178">
        <v>636</v>
      </c>
      <c r="U19" s="182">
        <v>2142</v>
      </c>
      <c r="V19" s="178">
        <v>440</v>
      </c>
      <c r="W19" s="178">
        <v>613</v>
      </c>
      <c r="X19" s="178">
        <v>519</v>
      </c>
      <c r="Y19" s="178">
        <v>665</v>
      </c>
      <c r="Z19" s="182">
        <v>2237</v>
      </c>
      <c r="AA19" s="178">
        <v>586</v>
      </c>
      <c r="AB19" s="178">
        <v>475</v>
      </c>
      <c r="AC19" s="170">
        <v>1061</v>
      </c>
      <c r="AD19" s="178">
        <v>551</v>
      </c>
      <c r="AE19" s="178">
        <v>445</v>
      </c>
      <c r="AF19" s="178">
        <v>545</v>
      </c>
      <c r="AG19" s="178">
        <v>427</v>
      </c>
      <c r="AH19" s="179">
        <v>1968</v>
      </c>
      <c r="AI19" s="178">
        <v>494</v>
      </c>
      <c r="AJ19" s="178">
        <v>429</v>
      </c>
      <c r="AK19" s="178">
        <v>455</v>
      </c>
      <c r="AL19" s="178">
        <v>509</v>
      </c>
      <c r="AM19" s="180">
        <v>1887</v>
      </c>
      <c r="AN19" s="178">
        <v>389</v>
      </c>
      <c r="AO19" s="178">
        <v>430</v>
      </c>
      <c r="AP19" s="178">
        <v>376</v>
      </c>
      <c r="AQ19" s="178">
        <v>381</v>
      </c>
      <c r="AR19" s="179">
        <v>1576</v>
      </c>
      <c r="AS19" s="178">
        <v>451</v>
      </c>
      <c r="AT19" s="178">
        <v>408</v>
      </c>
      <c r="AU19" s="178">
        <v>474</v>
      </c>
      <c r="AV19" s="178">
        <v>482</v>
      </c>
      <c r="AW19" s="179">
        <v>1815</v>
      </c>
      <c r="AX19" s="178">
        <v>474</v>
      </c>
      <c r="AY19" s="178">
        <v>480</v>
      </c>
      <c r="AZ19" s="178">
        <v>528</v>
      </c>
      <c r="BA19" s="178">
        <v>525</v>
      </c>
      <c r="BB19" s="179">
        <v>2007</v>
      </c>
      <c r="BC19" s="178">
        <v>453</v>
      </c>
      <c r="BD19" s="178">
        <v>563</v>
      </c>
      <c r="BE19" s="178">
        <v>394</v>
      </c>
      <c r="BF19" s="178">
        <v>532</v>
      </c>
      <c r="BG19" s="179">
        <v>1942</v>
      </c>
      <c r="BH19" s="178">
        <v>328</v>
      </c>
      <c r="BI19" s="178">
        <v>608</v>
      </c>
      <c r="BJ19" s="178">
        <v>243</v>
      </c>
      <c r="BK19" s="178">
        <v>352</v>
      </c>
      <c r="BL19" s="179">
        <v>1531</v>
      </c>
      <c r="BM19" s="178">
        <v>286</v>
      </c>
      <c r="BN19" s="178">
        <v>333</v>
      </c>
      <c r="BO19" s="178">
        <v>321</v>
      </c>
      <c r="BP19" s="178">
        <v>268</v>
      </c>
      <c r="BQ19" s="179">
        <v>1208</v>
      </c>
      <c r="BR19" s="178">
        <v>273</v>
      </c>
      <c r="BS19" s="178">
        <v>430</v>
      </c>
      <c r="BT19" s="178">
        <v>359</v>
      </c>
      <c r="BU19" s="178">
        <v>548</v>
      </c>
      <c r="BV19" s="179">
        <v>1610</v>
      </c>
      <c r="BW19" s="178">
        <v>493</v>
      </c>
      <c r="BX19" s="178">
        <v>625</v>
      </c>
      <c r="BY19" s="178">
        <v>601</v>
      </c>
      <c r="BZ19" s="178">
        <v>735</v>
      </c>
      <c r="CA19" s="179">
        <v>2454</v>
      </c>
      <c r="CB19" s="178">
        <v>644</v>
      </c>
      <c r="CC19" s="178">
        <v>870</v>
      </c>
      <c r="CD19" s="178">
        <v>971</v>
      </c>
    </row>
    <row r="20" spans="1:82" ht="16" x14ac:dyDescent="0.35">
      <c r="A20" s="177" t="s">
        <v>301</v>
      </c>
      <c r="B20" s="181">
        <v>908.4</v>
      </c>
      <c r="C20" s="181">
        <v>1169.5</v>
      </c>
      <c r="D20" s="181">
        <v>893.4</v>
      </c>
      <c r="E20" s="181">
        <v>1223.7</v>
      </c>
      <c r="F20" s="181">
        <v>4195</v>
      </c>
      <c r="G20" s="181">
        <v>1121.3</v>
      </c>
      <c r="H20" s="181">
        <v>1272.9000000000001</v>
      </c>
      <c r="I20" s="181">
        <v>1178.3</v>
      </c>
      <c r="J20" s="181">
        <v>1279.8</v>
      </c>
      <c r="K20" s="181">
        <v>4852.3</v>
      </c>
      <c r="L20" s="181">
        <v>1302</v>
      </c>
      <c r="M20" s="181">
        <v>1174.3</v>
      </c>
      <c r="N20" s="181">
        <v>1397.2</v>
      </c>
      <c r="O20" s="181">
        <v>1381.7</v>
      </c>
      <c r="P20" s="181">
        <v>5255.2</v>
      </c>
      <c r="Q20" s="181">
        <v>1439.2</v>
      </c>
      <c r="R20" s="181">
        <v>1254</v>
      </c>
      <c r="S20" s="181">
        <v>1588</v>
      </c>
      <c r="T20" s="181">
        <v>1391</v>
      </c>
      <c r="U20" s="182">
        <v>5672</v>
      </c>
      <c r="V20" s="181">
        <v>1668</v>
      </c>
      <c r="W20" s="181">
        <v>1303</v>
      </c>
      <c r="X20" s="181">
        <v>1719</v>
      </c>
      <c r="Y20" s="181">
        <v>1368</v>
      </c>
      <c r="Z20" s="182">
        <v>6058</v>
      </c>
      <c r="AA20" s="181">
        <v>1711</v>
      </c>
      <c r="AB20" s="181">
        <v>1368</v>
      </c>
      <c r="AC20" s="170">
        <v>3079</v>
      </c>
      <c r="AD20" s="181">
        <v>1760</v>
      </c>
      <c r="AE20" s="181">
        <v>1446</v>
      </c>
      <c r="AF20" s="181">
        <v>1783</v>
      </c>
      <c r="AG20" s="181">
        <v>1512</v>
      </c>
      <c r="AH20" s="179">
        <v>6501</v>
      </c>
      <c r="AI20" s="181">
        <v>1819</v>
      </c>
      <c r="AJ20" s="181">
        <v>1751</v>
      </c>
      <c r="AK20" s="181">
        <v>1828</v>
      </c>
      <c r="AL20" s="178">
        <v>1822</v>
      </c>
      <c r="AM20" s="180">
        <v>7220</v>
      </c>
      <c r="AN20" s="178">
        <v>1941</v>
      </c>
      <c r="AO20" s="178">
        <v>1797</v>
      </c>
      <c r="AP20" s="178">
        <v>2197</v>
      </c>
      <c r="AQ20" s="178">
        <v>1925</v>
      </c>
      <c r="AR20" s="179">
        <v>7860</v>
      </c>
      <c r="AS20" s="178">
        <v>2173</v>
      </c>
      <c r="AT20" s="178">
        <v>2039</v>
      </c>
      <c r="AU20" s="178">
        <v>2295</v>
      </c>
      <c r="AV20" s="178">
        <v>2086</v>
      </c>
      <c r="AW20" s="179">
        <v>8593</v>
      </c>
      <c r="AX20" s="178">
        <v>2450</v>
      </c>
      <c r="AY20" s="178">
        <v>2079</v>
      </c>
      <c r="AZ20" s="178">
        <v>2578</v>
      </c>
      <c r="BA20" s="178">
        <v>2084</v>
      </c>
      <c r="BB20" s="179">
        <v>9191</v>
      </c>
      <c r="BC20" s="178">
        <v>2654</v>
      </c>
      <c r="BD20" s="178">
        <v>2063</v>
      </c>
      <c r="BE20" s="178">
        <v>2521</v>
      </c>
      <c r="BF20" s="178">
        <v>2111</v>
      </c>
      <c r="BG20" s="179">
        <v>9349</v>
      </c>
      <c r="BH20" s="178">
        <v>2582</v>
      </c>
      <c r="BI20" s="178">
        <v>2285</v>
      </c>
      <c r="BJ20" s="178">
        <v>2681</v>
      </c>
      <c r="BK20" s="178">
        <v>2523</v>
      </c>
      <c r="BL20" s="179">
        <v>10071</v>
      </c>
      <c r="BM20" s="178">
        <v>2691</v>
      </c>
      <c r="BN20" s="178">
        <v>2538</v>
      </c>
      <c r="BO20" s="178">
        <v>2948</v>
      </c>
      <c r="BP20" s="178">
        <v>3044</v>
      </c>
      <c r="BQ20" s="179">
        <v>11221</v>
      </c>
      <c r="BR20" s="178">
        <v>2938</v>
      </c>
      <c r="BS20" s="178">
        <v>2901</v>
      </c>
      <c r="BT20" s="178">
        <v>3166</v>
      </c>
      <c r="BU20" s="178">
        <v>3058</v>
      </c>
      <c r="BV20" s="179">
        <v>12063</v>
      </c>
      <c r="BW20" s="178">
        <v>3310</v>
      </c>
      <c r="BX20" s="178">
        <v>3034</v>
      </c>
      <c r="BY20" s="178">
        <v>3610</v>
      </c>
      <c r="BZ20" s="178">
        <v>3518</v>
      </c>
      <c r="CA20" s="179">
        <v>13472</v>
      </c>
      <c r="CB20" s="178">
        <v>3912</v>
      </c>
      <c r="CC20" s="178">
        <v>3352</v>
      </c>
      <c r="CD20" s="178">
        <v>4214</v>
      </c>
    </row>
    <row r="21" spans="1:82" ht="9.75" hidden="1" customHeight="1" x14ac:dyDescent="0.3">
      <c r="A21" s="176"/>
      <c r="B21" s="170"/>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1"/>
      <c r="AI21" s="170"/>
      <c r="AJ21" s="170"/>
      <c r="AK21" s="170"/>
      <c r="AL21" s="170"/>
      <c r="AM21" s="173"/>
      <c r="AN21" s="138"/>
      <c r="AO21" s="138"/>
      <c r="AP21" s="138"/>
      <c r="AQ21" s="138"/>
      <c r="AR21" s="171"/>
      <c r="AS21" s="138"/>
      <c r="AT21" s="138"/>
      <c r="AU21" s="138"/>
      <c r="AV21" s="138"/>
      <c r="AW21" s="171"/>
      <c r="AX21" s="138"/>
      <c r="AY21" s="138"/>
      <c r="AZ21" s="138"/>
      <c r="BA21" s="138"/>
      <c r="BB21" s="171"/>
      <c r="BC21" s="138"/>
      <c r="BD21" s="138"/>
      <c r="BE21" s="138"/>
      <c r="BF21" s="138"/>
      <c r="BG21" s="171"/>
      <c r="BH21" s="138"/>
      <c r="BI21" s="138"/>
      <c r="BJ21" s="138"/>
      <c r="BK21" s="138"/>
      <c r="BL21" s="171"/>
      <c r="BM21" s="138"/>
      <c r="BN21" s="138"/>
      <c r="BO21" s="138"/>
      <c r="BP21" s="138"/>
      <c r="BQ21" s="171"/>
      <c r="BR21" s="138"/>
      <c r="BS21" s="138"/>
      <c r="BT21" s="138"/>
      <c r="BU21" s="138"/>
      <c r="BV21" s="171"/>
      <c r="BW21" s="138"/>
      <c r="BX21" s="138"/>
      <c r="BY21" s="138"/>
      <c r="BZ21" s="138"/>
      <c r="CA21" s="171"/>
      <c r="CB21" s="138"/>
      <c r="CC21" s="138"/>
      <c r="CD21" s="138"/>
    </row>
    <row r="22" spans="1:82" ht="32" hidden="1" customHeight="1" x14ac:dyDescent="0.3">
      <c r="A22" s="183" t="s">
        <v>300</v>
      </c>
      <c r="B22" s="170"/>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v>0</v>
      </c>
      <c r="AA22" s="170">
        <v>38</v>
      </c>
      <c r="AB22" s="170">
        <v>11</v>
      </c>
      <c r="AC22" s="170">
        <v>49</v>
      </c>
      <c r="AD22" s="170">
        <v>69</v>
      </c>
      <c r="AE22" s="170">
        <v>12</v>
      </c>
      <c r="AF22" s="170">
        <v>45</v>
      </c>
      <c r="AG22" s="170">
        <v>0</v>
      </c>
      <c r="AH22" s="168">
        <v>126</v>
      </c>
      <c r="AI22" s="170">
        <v>42</v>
      </c>
      <c r="AJ22" s="170">
        <v>0</v>
      </c>
      <c r="AK22" s="170">
        <v>42</v>
      </c>
      <c r="AL22" s="170">
        <v>0</v>
      </c>
      <c r="AM22" s="169">
        <v>84</v>
      </c>
      <c r="AN22" s="171">
        <v>42</v>
      </c>
      <c r="AO22" s="171">
        <v>1</v>
      </c>
      <c r="AP22" s="171">
        <v>29</v>
      </c>
      <c r="AQ22" s="171">
        <v>0</v>
      </c>
      <c r="AR22" s="168">
        <v>72</v>
      </c>
      <c r="AS22" s="171">
        <v>27</v>
      </c>
      <c r="AT22" s="171">
        <v>0</v>
      </c>
      <c r="AU22" s="171">
        <v>27</v>
      </c>
      <c r="AV22" s="171">
        <v>0</v>
      </c>
      <c r="AW22" s="168">
        <v>54</v>
      </c>
      <c r="AX22" s="171">
        <v>27</v>
      </c>
      <c r="AY22" s="171">
        <v>3</v>
      </c>
      <c r="AZ22" s="171">
        <v>4</v>
      </c>
      <c r="BA22" s="171">
        <v>0</v>
      </c>
      <c r="BB22" s="168">
        <v>34</v>
      </c>
      <c r="BC22" s="171">
        <v>0</v>
      </c>
      <c r="BD22" s="171">
        <v>0</v>
      </c>
      <c r="BE22" s="171">
        <v>0</v>
      </c>
      <c r="BF22" s="171">
        <v>0</v>
      </c>
      <c r="BG22" s="168">
        <v>0</v>
      </c>
      <c r="BH22" s="171">
        <v>0</v>
      </c>
      <c r="BI22" s="171">
        <v>0</v>
      </c>
      <c r="BJ22" s="171">
        <v>0</v>
      </c>
      <c r="BK22" s="171">
        <v>0</v>
      </c>
      <c r="BL22" s="168">
        <v>0</v>
      </c>
      <c r="BM22" s="171">
        <v>0</v>
      </c>
      <c r="BN22" s="171">
        <v>0</v>
      </c>
      <c r="BO22" s="171">
        <v>0</v>
      </c>
      <c r="BP22" s="171">
        <v>0</v>
      </c>
      <c r="BQ22" s="168">
        <v>0</v>
      </c>
      <c r="BR22" s="171">
        <v>0</v>
      </c>
      <c r="BS22" s="171">
        <v>0</v>
      </c>
      <c r="BT22" s="171">
        <v>0</v>
      </c>
      <c r="BU22" s="171">
        <v>0</v>
      </c>
      <c r="BV22" s="168">
        <v>0</v>
      </c>
      <c r="BW22" s="171">
        <v>0</v>
      </c>
      <c r="BX22" s="171">
        <v>0</v>
      </c>
      <c r="BY22" s="171">
        <v>0</v>
      </c>
      <c r="BZ22" s="171">
        <v>0</v>
      </c>
      <c r="CA22" s="168">
        <v>0</v>
      </c>
      <c r="CB22" s="171">
        <v>0</v>
      </c>
      <c r="CC22" s="171">
        <v>0</v>
      </c>
      <c r="CD22" s="171">
        <v>0</v>
      </c>
    </row>
    <row r="23" spans="1:82" ht="16" hidden="1" x14ac:dyDescent="0.35">
      <c r="A23" s="177" t="s">
        <v>299</v>
      </c>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82">
        <v>0</v>
      </c>
      <c r="AA23" s="181">
        <v>20</v>
      </c>
      <c r="AB23" s="181">
        <v>0</v>
      </c>
      <c r="AC23" s="170">
        <v>20</v>
      </c>
      <c r="AD23" s="181">
        <v>26</v>
      </c>
      <c r="AE23" s="181">
        <v>12</v>
      </c>
      <c r="AF23" s="181">
        <v>3</v>
      </c>
      <c r="AG23" s="181">
        <v>0</v>
      </c>
      <c r="AH23" s="179">
        <v>41</v>
      </c>
      <c r="AI23" s="181">
        <v>0</v>
      </c>
      <c r="AJ23" s="181">
        <v>0</v>
      </c>
      <c r="AK23" s="181">
        <v>0</v>
      </c>
      <c r="AL23" s="181">
        <v>0</v>
      </c>
      <c r="AM23" s="180">
        <v>0</v>
      </c>
      <c r="AN23" s="178">
        <v>0</v>
      </c>
      <c r="AO23" s="178">
        <v>0</v>
      </c>
      <c r="AP23" s="178">
        <v>0</v>
      </c>
      <c r="AQ23" s="178">
        <v>0</v>
      </c>
      <c r="AR23" s="179">
        <v>0</v>
      </c>
      <c r="AS23" s="178">
        <v>0</v>
      </c>
      <c r="AT23" s="178">
        <v>0</v>
      </c>
      <c r="AU23" s="178">
        <v>0</v>
      </c>
      <c r="AV23" s="178">
        <v>0</v>
      </c>
      <c r="AW23" s="179">
        <v>0</v>
      </c>
      <c r="AX23" s="178">
        <v>0</v>
      </c>
      <c r="AY23" s="178">
        <v>0</v>
      </c>
      <c r="AZ23" s="178">
        <v>0</v>
      </c>
      <c r="BA23" s="178">
        <v>0</v>
      </c>
      <c r="BB23" s="179">
        <v>0</v>
      </c>
      <c r="BC23" s="178">
        <v>0</v>
      </c>
      <c r="BD23" s="178">
        <v>0</v>
      </c>
      <c r="BE23" s="178">
        <v>0</v>
      </c>
      <c r="BF23" s="178">
        <v>0</v>
      </c>
      <c r="BG23" s="179">
        <v>0</v>
      </c>
      <c r="BH23" s="178">
        <v>0</v>
      </c>
      <c r="BI23" s="178">
        <v>0</v>
      </c>
      <c r="BJ23" s="178">
        <v>0</v>
      </c>
      <c r="BK23" s="178">
        <v>0</v>
      </c>
      <c r="BL23" s="179">
        <v>0</v>
      </c>
      <c r="BM23" s="178">
        <v>0</v>
      </c>
      <c r="BN23" s="178">
        <v>0</v>
      </c>
      <c r="BO23" s="178">
        <v>0</v>
      </c>
      <c r="BP23" s="178">
        <v>0</v>
      </c>
      <c r="BQ23" s="179">
        <v>0</v>
      </c>
      <c r="BR23" s="178">
        <v>0</v>
      </c>
      <c r="BS23" s="178">
        <v>0</v>
      </c>
      <c r="BT23" s="178">
        <v>0</v>
      </c>
      <c r="BU23" s="178">
        <v>0</v>
      </c>
      <c r="BV23" s="179">
        <v>0</v>
      </c>
      <c r="BW23" s="178">
        <v>0</v>
      </c>
      <c r="BX23" s="178">
        <v>0</v>
      </c>
      <c r="BY23" s="178">
        <v>0</v>
      </c>
      <c r="BZ23" s="178">
        <v>0</v>
      </c>
      <c r="CA23" s="179">
        <v>0</v>
      </c>
      <c r="CB23" s="178">
        <v>0</v>
      </c>
      <c r="CC23" s="178">
        <v>0</v>
      </c>
      <c r="CD23" s="178">
        <v>0</v>
      </c>
    </row>
    <row r="24" spans="1:82" ht="16" hidden="1" x14ac:dyDescent="0.35">
      <c r="A24" s="177" t="s">
        <v>298</v>
      </c>
      <c r="B24" s="170"/>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82">
        <v>0</v>
      </c>
      <c r="AA24" s="181">
        <v>13</v>
      </c>
      <c r="AB24" s="181">
        <v>0</v>
      </c>
      <c r="AC24" s="170">
        <v>13</v>
      </c>
      <c r="AD24" s="181">
        <v>16</v>
      </c>
      <c r="AE24" s="181">
        <v>0</v>
      </c>
      <c r="AF24" s="181">
        <v>16</v>
      </c>
      <c r="AG24" s="181">
        <v>0</v>
      </c>
      <c r="AH24" s="179">
        <v>32</v>
      </c>
      <c r="AI24" s="181">
        <v>16</v>
      </c>
      <c r="AJ24" s="181">
        <v>0</v>
      </c>
      <c r="AK24" s="181">
        <v>16</v>
      </c>
      <c r="AL24" s="181">
        <v>0</v>
      </c>
      <c r="AM24" s="180">
        <v>32</v>
      </c>
      <c r="AN24" s="178">
        <v>16</v>
      </c>
      <c r="AO24" s="178">
        <v>1</v>
      </c>
      <c r="AP24" s="178">
        <v>2</v>
      </c>
      <c r="AQ24" s="178">
        <v>0</v>
      </c>
      <c r="AR24" s="179">
        <v>19</v>
      </c>
      <c r="AS24" s="178">
        <v>0</v>
      </c>
      <c r="AT24" s="178">
        <v>0</v>
      </c>
      <c r="AU24" s="178">
        <v>0</v>
      </c>
      <c r="AV24" s="178">
        <v>0</v>
      </c>
      <c r="AW24" s="179">
        <v>0</v>
      </c>
      <c r="AX24" s="178">
        <v>0</v>
      </c>
      <c r="AY24" s="178">
        <v>0</v>
      </c>
      <c r="AZ24" s="178">
        <v>0</v>
      </c>
      <c r="BA24" s="178">
        <v>0</v>
      </c>
      <c r="BB24" s="179">
        <v>0</v>
      </c>
      <c r="BC24" s="178">
        <v>0</v>
      </c>
      <c r="BD24" s="178">
        <v>0</v>
      </c>
      <c r="BE24" s="178">
        <v>0</v>
      </c>
      <c r="BF24" s="178">
        <v>0</v>
      </c>
      <c r="BG24" s="179">
        <v>0</v>
      </c>
      <c r="BH24" s="178">
        <v>0</v>
      </c>
      <c r="BI24" s="178">
        <v>0</v>
      </c>
      <c r="BJ24" s="178">
        <v>0</v>
      </c>
      <c r="BK24" s="178">
        <v>0</v>
      </c>
      <c r="BL24" s="179">
        <v>0</v>
      </c>
      <c r="BM24" s="178">
        <v>0</v>
      </c>
      <c r="BN24" s="178">
        <v>0</v>
      </c>
      <c r="BO24" s="178">
        <v>0</v>
      </c>
      <c r="BP24" s="178">
        <v>0</v>
      </c>
      <c r="BQ24" s="179">
        <v>0</v>
      </c>
      <c r="BR24" s="178">
        <v>0</v>
      </c>
      <c r="BS24" s="178">
        <v>0</v>
      </c>
      <c r="BT24" s="178">
        <v>0</v>
      </c>
      <c r="BU24" s="178">
        <v>0</v>
      </c>
      <c r="BV24" s="179">
        <v>0</v>
      </c>
      <c r="BW24" s="178">
        <v>0</v>
      </c>
      <c r="BX24" s="178">
        <v>0</v>
      </c>
      <c r="BY24" s="178">
        <v>0</v>
      </c>
      <c r="BZ24" s="178">
        <v>0</v>
      </c>
      <c r="CA24" s="179">
        <v>0</v>
      </c>
      <c r="CB24" s="178">
        <v>0</v>
      </c>
      <c r="CC24" s="178">
        <v>0</v>
      </c>
      <c r="CD24" s="178">
        <v>0</v>
      </c>
    </row>
    <row r="25" spans="1:82" ht="16" hidden="1" x14ac:dyDescent="0.35">
      <c r="A25" s="177" t="s">
        <v>297</v>
      </c>
      <c r="B25" s="170"/>
      <c r="C25" s="170"/>
      <c r="D25" s="170"/>
      <c r="E25" s="170"/>
      <c r="F25" s="170"/>
      <c r="G25" s="170"/>
      <c r="H25" s="170"/>
      <c r="I25" s="170"/>
      <c r="J25" s="170"/>
      <c r="K25" s="170"/>
      <c r="L25" s="170"/>
      <c r="M25" s="170"/>
      <c r="N25" s="170"/>
      <c r="O25" s="170"/>
      <c r="P25" s="170"/>
      <c r="Q25" s="170"/>
      <c r="R25" s="170"/>
      <c r="S25" s="170"/>
      <c r="T25" s="170"/>
      <c r="U25" s="170"/>
      <c r="V25" s="170"/>
      <c r="W25" s="170"/>
      <c r="X25" s="170"/>
      <c r="Y25" s="170"/>
      <c r="Z25" s="182">
        <v>0</v>
      </c>
      <c r="AA25" s="181">
        <v>5</v>
      </c>
      <c r="AB25" s="181">
        <v>11</v>
      </c>
      <c r="AC25" s="170">
        <v>16</v>
      </c>
      <c r="AD25" s="181">
        <v>27</v>
      </c>
      <c r="AE25" s="181">
        <v>0</v>
      </c>
      <c r="AF25" s="181">
        <v>26</v>
      </c>
      <c r="AG25" s="181">
        <v>0</v>
      </c>
      <c r="AH25" s="179">
        <v>53</v>
      </c>
      <c r="AI25" s="181">
        <v>26</v>
      </c>
      <c r="AJ25" s="181">
        <v>0</v>
      </c>
      <c r="AK25" s="181">
        <v>26</v>
      </c>
      <c r="AL25" s="181">
        <v>0</v>
      </c>
      <c r="AM25" s="180">
        <v>52</v>
      </c>
      <c r="AN25" s="178">
        <v>26</v>
      </c>
      <c r="AO25" s="178">
        <v>0</v>
      </c>
      <c r="AP25" s="178">
        <v>27</v>
      </c>
      <c r="AQ25" s="178">
        <v>0</v>
      </c>
      <c r="AR25" s="179">
        <v>53</v>
      </c>
      <c r="AS25" s="178">
        <v>27</v>
      </c>
      <c r="AT25" s="178">
        <v>0</v>
      </c>
      <c r="AU25" s="178">
        <v>27</v>
      </c>
      <c r="AV25" s="178">
        <v>0</v>
      </c>
      <c r="AW25" s="179">
        <v>54</v>
      </c>
      <c r="AX25" s="178">
        <v>27</v>
      </c>
      <c r="AY25" s="178">
        <v>3</v>
      </c>
      <c r="AZ25" s="178">
        <v>4</v>
      </c>
      <c r="BA25" s="178">
        <v>0</v>
      </c>
      <c r="BB25" s="179">
        <v>34</v>
      </c>
      <c r="BC25" s="178">
        <v>0</v>
      </c>
      <c r="BD25" s="178">
        <v>0</v>
      </c>
      <c r="BE25" s="178">
        <v>0</v>
      </c>
      <c r="BF25" s="178">
        <v>0</v>
      </c>
      <c r="BG25" s="179">
        <v>0</v>
      </c>
      <c r="BH25" s="178">
        <v>0</v>
      </c>
      <c r="BI25" s="178">
        <v>0</v>
      </c>
      <c r="BJ25" s="178">
        <v>0</v>
      </c>
      <c r="BK25" s="178">
        <v>0</v>
      </c>
      <c r="BL25" s="179">
        <v>0</v>
      </c>
      <c r="BM25" s="178">
        <v>0</v>
      </c>
      <c r="BN25" s="178">
        <v>0</v>
      </c>
      <c r="BO25" s="178">
        <v>0</v>
      </c>
      <c r="BP25" s="178">
        <v>0</v>
      </c>
      <c r="BQ25" s="179">
        <v>0</v>
      </c>
      <c r="BR25" s="178">
        <v>0</v>
      </c>
      <c r="BS25" s="178">
        <v>0</v>
      </c>
      <c r="BT25" s="178">
        <v>0</v>
      </c>
      <c r="BU25" s="178">
        <v>0</v>
      </c>
      <c r="BV25" s="179">
        <v>0</v>
      </c>
      <c r="BW25" s="178">
        <v>0</v>
      </c>
      <c r="BX25" s="178">
        <v>0</v>
      </c>
      <c r="BY25" s="178">
        <v>0</v>
      </c>
      <c r="BZ25" s="178">
        <v>0</v>
      </c>
      <c r="CA25" s="179">
        <v>0</v>
      </c>
      <c r="CB25" s="178">
        <v>0</v>
      </c>
      <c r="CC25" s="178">
        <v>0</v>
      </c>
      <c r="CD25" s="178">
        <v>0</v>
      </c>
    </row>
    <row r="26" spans="1:82" ht="9" customHeight="1" x14ac:dyDescent="0.3">
      <c r="A26" s="177"/>
      <c r="B26" s="170"/>
      <c r="C26" s="170"/>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4"/>
      <c r="AB26" s="174"/>
      <c r="AC26" s="170"/>
      <c r="AD26" s="174"/>
      <c r="AE26" s="174"/>
      <c r="AF26" s="174"/>
      <c r="AG26" s="174"/>
      <c r="AH26" s="171"/>
      <c r="AI26" s="174"/>
      <c r="AJ26" s="174"/>
      <c r="AK26" s="174"/>
      <c r="AL26" s="174"/>
      <c r="AM26" s="173"/>
      <c r="AN26" s="138"/>
      <c r="AO26" s="138"/>
      <c r="AP26" s="138"/>
      <c r="AQ26" s="138"/>
      <c r="AR26" s="171"/>
      <c r="AS26" s="138"/>
      <c r="AT26" s="138"/>
      <c r="AU26" s="138"/>
      <c r="AV26" s="138"/>
      <c r="AW26" s="171"/>
      <c r="AX26" s="138"/>
      <c r="AY26" s="138"/>
      <c r="AZ26" s="138"/>
      <c r="BA26" s="138"/>
      <c r="BB26" s="171"/>
      <c r="BC26" s="138"/>
      <c r="BD26" s="138"/>
      <c r="BE26" s="138"/>
      <c r="BF26" s="138"/>
      <c r="BG26" s="171"/>
      <c r="BH26" s="138"/>
      <c r="BI26" s="138"/>
      <c r="BJ26" s="138"/>
      <c r="BK26" s="138"/>
      <c r="BL26" s="171"/>
      <c r="BM26" s="138"/>
      <c r="BN26" s="138"/>
      <c r="BO26" s="138"/>
      <c r="BP26" s="138"/>
      <c r="BQ26" s="171"/>
      <c r="BR26" s="138"/>
      <c r="BS26" s="138"/>
      <c r="BT26" s="138"/>
      <c r="BU26" s="138"/>
      <c r="BV26" s="171"/>
      <c r="BW26" s="138"/>
      <c r="BX26" s="138"/>
      <c r="BY26" s="138"/>
      <c r="BZ26" s="138"/>
      <c r="CA26" s="171"/>
      <c r="CB26" s="138"/>
      <c r="CC26" s="138"/>
      <c r="CD26" s="138"/>
    </row>
    <row r="27" spans="1:82" s="156" customFormat="1" x14ac:dyDescent="0.3">
      <c r="A27" s="176" t="s">
        <v>296</v>
      </c>
      <c r="B27" s="170">
        <v>2834.7000000000003</v>
      </c>
      <c r="C27" s="170">
        <v>3565.1</v>
      </c>
      <c r="D27" s="170">
        <v>2496.1999999999998</v>
      </c>
      <c r="E27" s="170">
        <v>3872.6</v>
      </c>
      <c r="F27" s="170">
        <v>12768.599999999999</v>
      </c>
      <c r="G27" s="170">
        <v>3363.7</v>
      </c>
      <c r="H27" s="170">
        <v>3300.6</v>
      </c>
      <c r="I27" s="170">
        <v>2456.3000000000002</v>
      </c>
      <c r="J27" s="170">
        <v>3797.6</v>
      </c>
      <c r="K27" s="170">
        <v>12918.2</v>
      </c>
      <c r="L27" s="170">
        <v>3851.8</v>
      </c>
      <c r="M27" s="170">
        <v>3233.7</v>
      </c>
      <c r="N27" s="170">
        <v>3705.7</v>
      </c>
      <c r="O27" s="170">
        <v>4710.8999999999996</v>
      </c>
      <c r="P27" s="170">
        <v>15502.099999999999</v>
      </c>
      <c r="Q27" s="170">
        <v>2919.4</v>
      </c>
      <c r="R27" s="170">
        <v>3631</v>
      </c>
      <c r="S27" s="170">
        <v>2676</v>
      </c>
      <c r="T27" s="170">
        <v>4041</v>
      </c>
      <c r="U27" s="170">
        <v>13268</v>
      </c>
      <c r="V27" s="170">
        <v>3322</v>
      </c>
      <c r="W27" s="170">
        <v>7195</v>
      </c>
      <c r="X27" s="170">
        <v>4403</v>
      </c>
      <c r="Y27" s="170">
        <v>4467</v>
      </c>
      <c r="Z27" s="170">
        <v>19387</v>
      </c>
      <c r="AA27" s="170">
        <v>3847</v>
      </c>
      <c r="AB27" s="170">
        <v>8930</v>
      </c>
      <c r="AC27" s="170">
        <v>12777</v>
      </c>
      <c r="AD27" s="170">
        <v>2766</v>
      </c>
      <c r="AE27" s="170">
        <v>2756</v>
      </c>
      <c r="AF27" s="170">
        <v>4681</v>
      </c>
      <c r="AG27" s="170">
        <v>2452</v>
      </c>
      <c r="AH27" s="168">
        <v>12655</v>
      </c>
      <c r="AI27" s="170">
        <v>7838</v>
      </c>
      <c r="AJ27" s="170">
        <v>3041</v>
      </c>
      <c r="AK27" s="170">
        <v>4090</v>
      </c>
      <c r="AL27" s="170">
        <v>5798</v>
      </c>
      <c r="AM27" s="169">
        <v>20767</v>
      </c>
      <c r="AN27" s="168">
        <v>2527</v>
      </c>
      <c r="AO27" s="168">
        <v>4729</v>
      </c>
      <c r="AP27" s="168">
        <v>7580</v>
      </c>
      <c r="AQ27" s="168">
        <v>2873</v>
      </c>
      <c r="AR27" s="168">
        <v>17709</v>
      </c>
      <c r="AS27" s="168">
        <v>3204</v>
      </c>
      <c r="AT27" s="168">
        <v>7425</v>
      </c>
      <c r="AU27" s="168">
        <v>3419</v>
      </c>
      <c r="AV27" s="168">
        <v>8881</v>
      </c>
      <c r="AW27" s="168">
        <v>22929</v>
      </c>
      <c r="AX27" s="168">
        <v>3876</v>
      </c>
      <c r="AY27" s="168">
        <v>9583</v>
      </c>
      <c r="AZ27" s="168">
        <v>3916</v>
      </c>
      <c r="BA27" s="168">
        <v>7452</v>
      </c>
      <c r="BB27" s="168">
        <v>24827</v>
      </c>
      <c r="BC27" s="168">
        <v>7267</v>
      </c>
      <c r="BD27" s="168">
        <v>7152</v>
      </c>
      <c r="BE27" s="168">
        <v>3480</v>
      </c>
      <c r="BF27" s="168">
        <v>7750</v>
      </c>
      <c r="BG27" s="168">
        <v>25649</v>
      </c>
      <c r="BH27" s="168">
        <v>5894</v>
      </c>
      <c r="BI27" s="168">
        <v>9993</v>
      </c>
      <c r="BJ27" s="168">
        <v>9006</v>
      </c>
      <c r="BK27" s="168">
        <v>4616</v>
      </c>
      <c r="BL27" s="168">
        <v>29509</v>
      </c>
      <c r="BM27" s="168">
        <v>9058</v>
      </c>
      <c r="BN27" s="168">
        <v>10350</v>
      </c>
      <c r="BO27" s="168">
        <v>3390</v>
      </c>
      <c r="BP27" s="168">
        <v>9762</v>
      </c>
      <c r="BQ27" s="168">
        <v>32560</v>
      </c>
      <c r="BR27" s="168">
        <v>5876</v>
      </c>
      <c r="BS27" s="168">
        <v>8513</v>
      </c>
      <c r="BT27" s="168">
        <v>9648</v>
      </c>
      <c r="BU27" s="168">
        <v>9565</v>
      </c>
      <c r="BV27" s="168">
        <v>33602</v>
      </c>
      <c r="BW27" s="168">
        <v>9551</v>
      </c>
      <c r="BX27" s="168">
        <v>14269</v>
      </c>
      <c r="BY27" s="168">
        <v>7741</v>
      </c>
      <c r="BZ27" s="168">
        <v>23137</v>
      </c>
      <c r="CA27" s="168">
        <v>54698</v>
      </c>
      <c r="CB27" s="168">
        <v>11542</v>
      </c>
      <c r="CC27" s="168">
        <v>9851</v>
      </c>
      <c r="CD27" s="168">
        <v>19036</v>
      </c>
    </row>
    <row r="28" spans="1:82" ht="10.5" customHeight="1" x14ac:dyDescent="0.3">
      <c r="A28" s="175"/>
      <c r="B28" s="174"/>
      <c r="C28" s="174"/>
      <c r="D28" s="174"/>
      <c r="E28" s="174"/>
      <c r="F28" s="174"/>
      <c r="G28" s="172"/>
      <c r="H28" s="172"/>
      <c r="I28" s="172"/>
      <c r="J28" s="172"/>
      <c r="K28" s="174"/>
      <c r="L28" s="172"/>
      <c r="M28" s="172"/>
      <c r="N28" s="172"/>
      <c r="O28" s="172"/>
      <c r="P28" s="174"/>
      <c r="Q28" s="172"/>
      <c r="R28" s="172"/>
      <c r="S28" s="172"/>
      <c r="T28" s="172"/>
      <c r="U28" s="170"/>
      <c r="V28" s="172"/>
      <c r="W28" s="172"/>
      <c r="X28" s="172"/>
      <c r="Y28" s="172"/>
      <c r="Z28" s="170"/>
      <c r="AA28" s="172"/>
      <c r="AB28" s="172"/>
      <c r="AC28" s="168"/>
      <c r="AD28" s="172"/>
      <c r="AE28" s="172"/>
      <c r="AF28" s="172"/>
      <c r="AG28" s="172"/>
      <c r="AH28" s="171"/>
      <c r="AI28" s="172"/>
      <c r="AJ28" s="172"/>
      <c r="AK28" s="172"/>
      <c r="AL28" s="172"/>
      <c r="AM28" s="173"/>
      <c r="AN28" s="172"/>
      <c r="AO28" s="172"/>
      <c r="AP28" s="172"/>
      <c r="AQ28" s="172"/>
      <c r="AR28" s="171"/>
      <c r="AS28" s="172"/>
      <c r="AT28" s="172"/>
      <c r="AU28" s="172"/>
      <c r="AV28" s="172"/>
      <c r="AW28" s="171"/>
      <c r="AX28" s="172"/>
      <c r="AY28" s="172"/>
      <c r="AZ28" s="172"/>
      <c r="BA28" s="172"/>
      <c r="BB28" s="171"/>
      <c r="BC28" s="172"/>
      <c r="BD28" s="172"/>
      <c r="BE28" s="172"/>
      <c r="BF28" s="172"/>
      <c r="BG28" s="171"/>
      <c r="BH28" s="172"/>
      <c r="BI28" s="172"/>
      <c r="BJ28" s="172"/>
      <c r="BK28" s="172"/>
      <c r="BL28" s="171"/>
      <c r="BM28" s="172"/>
      <c r="BN28" s="172"/>
      <c r="BO28" s="172"/>
      <c r="BP28" s="172"/>
      <c r="BQ28" s="171"/>
      <c r="BR28" s="172"/>
      <c r="BS28" s="172"/>
      <c r="BT28" s="172"/>
      <c r="BU28" s="172"/>
      <c r="BV28" s="171"/>
      <c r="BW28" s="172"/>
      <c r="BX28" s="172"/>
      <c r="BY28" s="172"/>
      <c r="BZ28" s="172"/>
      <c r="CA28" s="171"/>
      <c r="CB28" s="172"/>
      <c r="CC28" s="172"/>
      <c r="CD28" s="172"/>
    </row>
    <row r="29" spans="1:82" x14ac:dyDescent="0.3">
      <c r="A29" s="171" t="s">
        <v>295</v>
      </c>
      <c r="B29" s="170">
        <v>2571.7000000000003</v>
      </c>
      <c r="C29" s="170">
        <v>2624.1</v>
      </c>
      <c r="D29" s="170">
        <v>2111.6</v>
      </c>
      <c r="E29" s="170">
        <v>2504.6999999999998</v>
      </c>
      <c r="F29" s="170">
        <v>9812.0999999999985</v>
      </c>
      <c r="G29" s="170">
        <v>2338.1999999999998</v>
      </c>
      <c r="H29" s="170">
        <v>2501.8000000000002</v>
      </c>
      <c r="I29" s="170">
        <v>2138.5</v>
      </c>
      <c r="J29" s="170">
        <v>2487.9</v>
      </c>
      <c r="K29" s="170">
        <v>9466.4</v>
      </c>
      <c r="L29" s="170">
        <v>2397.5</v>
      </c>
      <c r="M29" s="170">
        <v>2296.3999999999996</v>
      </c>
      <c r="N29" s="170">
        <v>2493.3000000000002</v>
      </c>
      <c r="O29" s="170">
        <v>2592.5</v>
      </c>
      <c r="P29" s="170">
        <v>9779.6</v>
      </c>
      <c r="Q29" s="170">
        <v>2372.7000000000003</v>
      </c>
      <c r="R29" s="170">
        <v>2173</v>
      </c>
      <c r="S29" s="170">
        <v>2491</v>
      </c>
      <c r="T29" s="170">
        <v>2273</v>
      </c>
      <c r="U29" s="170">
        <v>9310.2999999999993</v>
      </c>
      <c r="V29" s="170">
        <v>2554</v>
      </c>
      <c r="W29" s="170">
        <v>2167</v>
      </c>
      <c r="X29" s="170">
        <v>2686</v>
      </c>
      <c r="Y29" s="170">
        <v>2319</v>
      </c>
      <c r="Z29" s="170">
        <v>9726</v>
      </c>
      <c r="AA29" s="170">
        <v>2700</v>
      </c>
      <c r="AB29" s="170">
        <v>2080</v>
      </c>
      <c r="AC29" s="170">
        <v>4780</v>
      </c>
      <c r="AD29" s="170">
        <v>2720</v>
      </c>
      <c r="AE29" s="170">
        <v>2131</v>
      </c>
      <c r="AF29" s="170">
        <v>2728</v>
      </c>
      <c r="AG29" s="170">
        <v>2146</v>
      </c>
      <c r="AH29" s="168">
        <v>9725</v>
      </c>
      <c r="AI29" s="170">
        <v>2749</v>
      </c>
      <c r="AJ29" s="170">
        <v>2435</v>
      </c>
      <c r="AK29" s="170">
        <v>2816</v>
      </c>
      <c r="AL29" s="170">
        <v>2580</v>
      </c>
      <c r="AM29" s="169">
        <v>10580</v>
      </c>
      <c r="AN29" s="168">
        <v>2764</v>
      </c>
      <c r="AO29" s="168">
        <v>2468</v>
      </c>
      <c r="AP29" s="168">
        <v>2976</v>
      </c>
      <c r="AQ29" s="168">
        <v>2611</v>
      </c>
      <c r="AR29" s="168">
        <v>10819</v>
      </c>
      <c r="AS29" s="168">
        <v>3036</v>
      </c>
      <c r="AT29" s="168">
        <v>2707</v>
      </c>
      <c r="AU29" s="168">
        <v>3256</v>
      </c>
      <c r="AV29" s="168">
        <v>2889</v>
      </c>
      <c r="AW29" s="168">
        <v>11888</v>
      </c>
      <c r="AX29" s="168">
        <v>3511</v>
      </c>
      <c r="AY29" s="168">
        <v>2867.6</v>
      </c>
      <c r="AZ29" s="168">
        <v>3644.7</v>
      </c>
      <c r="BA29" s="168">
        <v>2910</v>
      </c>
      <c r="BB29" s="168">
        <v>12933.3</v>
      </c>
      <c r="BC29" s="168">
        <v>3448</v>
      </c>
      <c r="BD29" s="168">
        <v>2922</v>
      </c>
      <c r="BE29" s="168">
        <v>3204</v>
      </c>
      <c r="BF29" s="168">
        <v>2849</v>
      </c>
      <c r="BG29" s="168">
        <v>12423</v>
      </c>
      <c r="BH29" s="168">
        <v>3104.6</v>
      </c>
      <c r="BI29" s="168">
        <v>3141</v>
      </c>
      <c r="BJ29" s="168">
        <v>3121</v>
      </c>
      <c r="BK29" s="168">
        <v>3070</v>
      </c>
      <c r="BL29" s="168">
        <v>12436.6</v>
      </c>
      <c r="BM29" s="168">
        <v>3206</v>
      </c>
      <c r="BN29" s="168">
        <v>3108</v>
      </c>
      <c r="BO29" s="168">
        <v>3624</v>
      </c>
      <c r="BP29" s="168">
        <v>4178</v>
      </c>
      <c r="BQ29" s="168">
        <v>14116</v>
      </c>
      <c r="BR29" s="168">
        <v>3853.8</v>
      </c>
      <c r="BS29" s="168">
        <v>4184.8</v>
      </c>
      <c r="BT29" s="168">
        <v>4076</v>
      </c>
      <c r="BU29" s="168">
        <v>4551</v>
      </c>
      <c r="BV29" s="168">
        <v>16665.599999999999</v>
      </c>
      <c r="BW29" s="168">
        <v>4412</v>
      </c>
      <c r="BX29" s="168">
        <v>4809</v>
      </c>
      <c r="BY29" s="168">
        <v>5207</v>
      </c>
      <c r="BZ29" s="168">
        <v>5625</v>
      </c>
      <c r="CA29" s="168">
        <v>20053</v>
      </c>
      <c r="CB29" s="168">
        <v>5978</v>
      </c>
      <c r="CC29" s="168">
        <v>5709</v>
      </c>
      <c r="CD29" s="168">
        <v>6767</v>
      </c>
    </row>
    <row r="30" spans="1:82" ht="12.75" customHeight="1" x14ac:dyDescent="0.3">
      <c r="A30" s="138"/>
      <c r="B30" s="174"/>
      <c r="C30" s="174"/>
      <c r="D30" s="174"/>
      <c r="E30" s="174"/>
      <c r="F30" s="174"/>
      <c r="G30" s="174"/>
      <c r="H30" s="174"/>
      <c r="I30" s="174"/>
      <c r="J30" s="174"/>
      <c r="K30" s="174"/>
      <c r="L30" s="174"/>
      <c r="M30" s="174"/>
      <c r="N30" s="174"/>
      <c r="O30" s="174"/>
      <c r="P30" s="174"/>
      <c r="Q30" s="174"/>
      <c r="R30" s="174"/>
      <c r="S30" s="174"/>
      <c r="T30" s="174"/>
      <c r="U30" s="170"/>
      <c r="V30" s="174"/>
      <c r="W30" s="174"/>
      <c r="X30" s="174"/>
      <c r="Y30" s="174"/>
      <c r="Z30" s="170"/>
      <c r="AA30" s="174"/>
      <c r="AB30" s="174"/>
      <c r="AC30" s="170"/>
      <c r="AD30" s="174"/>
      <c r="AE30" s="174"/>
      <c r="AF30" s="174"/>
      <c r="AG30" s="174"/>
      <c r="AH30" s="171"/>
      <c r="AI30" s="174"/>
      <c r="AJ30" s="174"/>
      <c r="AK30" s="174"/>
      <c r="AL30" s="174"/>
      <c r="AM30" s="173"/>
      <c r="AN30" s="172"/>
      <c r="AO30" s="172"/>
      <c r="AP30" s="172"/>
      <c r="AQ30" s="172"/>
      <c r="AR30" s="171"/>
      <c r="AS30" s="172"/>
      <c r="AT30" s="172"/>
      <c r="AU30" s="172"/>
      <c r="AV30" s="172"/>
      <c r="AW30" s="171"/>
      <c r="AX30" s="172"/>
      <c r="AY30" s="172"/>
      <c r="AZ30" s="172"/>
      <c r="BA30" s="172"/>
      <c r="BB30" s="171"/>
      <c r="BC30" s="172"/>
      <c r="BD30" s="172"/>
      <c r="BE30" s="172"/>
      <c r="BF30" s="172"/>
      <c r="BG30" s="171"/>
      <c r="BH30" s="172"/>
      <c r="BI30" s="172"/>
      <c r="BJ30" s="172"/>
      <c r="BK30" s="172"/>
      <c r="BL30" s="171"/>
      <c r="BM30" s="172"/>
      <c r="BN30" s="172"/>
      <c r="BO30" s="172"/>
      <c r="BP30" s="172"/>
      <c r="BQ30" s="171"/>
      <c r="BR30" s="172"/>
      <c r="BS30" s="172"/>
      <c r="BT30" s="172"/>
      <c r="BU30" s="172"/>
      <c r="BV30" s="171"/>
      <c r="BW30" s="172"/>
      <c r="BX30" s="172"/>
      <c r="BY30" s="172"/>
      <c r="BZ30" s="172"/>
      <c r="CA30" s="171"/>
      <c r="CB30" s="172"/>
      <c r="CC30" s="172"/>
      <c r="CD30" s="172"/>
    </row>
    <row r="31" spans="1:82" x14ac:dyDescent="0.3">
      <c r="A31" s="171" t="s">
        <v>294</v>
      </c>
      <c r="B31" s="170">
        <v>3110.4</v>
      </c>
      <c r="C31" s="170">
        <v>3870.2999999999997</v>
      </c>
      <c r="D31" s="170">
        <v>2773.2999999999997</v>
      </c>
      <c r="E31" s="170">
        <v>4202.5</v>
      </c>
      <c r="F31" s="170">
        <v>13956.499999999998</v>
      </c>
      <c r="G31" s="170">
        <v>3616</v>
      </c>
      <c r="H31" s="170">
        <v>3560.2999999999997</v>
      </c>
      <c r="I31" s="170">
        <v>2780.3</v>
      </c>
      <c r="J31" s="170">
        <v>4181.8999999999996</v>
      </c>
      <c r="K31" s="170">
        <v>14138.5</v>
      </c>
      <c r="L31" s="170">
        <v>4192</v>
      </c>
      <c r="M31" s="170">
        <v>3503.5</v>
      </c>
      <c r="N31" s="170">
        <v>4204.2</v>
      </c>
      <c r="O31" s="170">
        <v>5022</v>
      </c>
      <c r="P31" s="170">
        <v>16921.699999999997</v>
      </c>
      <c r="Q31" s="170">
        <v>3402</v>
      </c>
      <c r="R31" s="170">
        <v>3836</v>
      </c>
      <c r="S31" s="170">
        <v>3313</v>
      </c>
      <c r="T31" s="170">
        <v>4341</v>
      </c>
      <c r="U31" s="170">
        <v>14893.2</v>
      </c>
      <c r="V31" s="170">
        <v>4172</v>
      </c>
      <c r="W31" s="170">
        <v>7571</v>
      </c>
      <c r="X31" s="170">
        <v>5329</v>
      </c>
      <c r="Y31" s="170">
        <v>5813</v>
      </c>
      <c r="Z31" s="170">
        <v>22885</v>
      </c>
      <c r="AA31" s="170">
        <v>4810</v>
      </c>
      <c r="AB31" s="170">
        <v>9434</v>
      </c>
      <c r="AC31" s="170">
        <v>14244</v>
      </c>
      <c r="AD31" s="170">
        <v>3851</v>
      </c>
      <c r="AE31" s="170">
        <v>3269</v>
      </c>
      <c r="AF31" s="170">
        <v>5850</v>
      </c>
      <c r="AG31" s="170">
        <v>2959</v>
      </c>
      <c r="AH31" s="168">
        <v>15929</v>
      </c>
      <c r="AI31" s="170">
        <v>8956</v>
      </c>
      <c r="AJ31" s="170">
        <v>3547</v>
      </c>
      <c r="AK31" s="170">
        <v>9387</v>
      </c>
      <c r="AL31" s="170">
        <v>6303</v>
      </c>
      <c r="AM31" s="169">
        <v>28193</v>
      </c>
      <c r="AN31" s="168">
        <v>3905</v>
      </c>
      <c r="AO31" s="168">
        <v>5168</v>
      </c>
      <c r="AP31" s="168">
        <v>8983</v>
      </c>
      <c r="AQ31" s="168">
        <v>3358</v>
      </c>
      <c r="AR31" s="168">
        <v>21414</v>
      </c>
      <c r="AS31" s="168">
        <v>5077</v>
      </c>
      <c r="AT31" s="168">
        <v>7901</v>
      </c>
      <c r="AU31" s="168">
        <v>5286</v>
      </c>
      <c r="AV31" s="168">
        <v>9424</v>
      </c>
      <c r="AW31" s="168">
        <v>27688</v>
      </c>
      <c r="AX31" s="168">
        <v>5780.8</v>
      </c>
      <c r="AY31" s="168">
        <v>10195.700000000001</v>
      </c>
      <c r="AZ31" s="168">
        <v>12343.800000000001</v>
      </c>
      <c r="BA31" s="168">
        <v>8124</v>
      </c>
      <c r="BB31" s="168">
        <v>36444.300000000003</v>
      </c>
      <c r="BC31" s="168">
        <v>9051</v>
      </c>
      <c r="BD31" s="168">
        <v>8069</v>
      </c>
      <c r="BE31" s="168">
        <v>5548</v>
      </c>
      <c r="BF31" s="168">
        <v>8481</v>
      </c>
      <c r="BG31" s="168">
        <v>31149</v>
      </c>
      <c r="BH31" s="168">
        <v>7648.4</v>
      </c>
      <c r="BI31" s="168">
        <v>10728</v>
      </c>
      <c r="BJ31" s="168">
        <v>10551</v>
      </c>
      <c r="BK31" s="168">
        <v>5309</v>
      </c>
      <c r="BL31" s="168">
        <v>34236.400000000001</v>
      </c>
      <c r="BM31" s="168">
        <v>10811</v>
      </c>
      <c r="BN31" s="168">
        <v>11176</v>
      </c>
      <c r="BO31" s="168">
        <v>4854</v>
      </c>
      <c r="BP31" s="168">
        <v>22239</v>
      </c>
      <c r="BQ31" s="168">
        <v>49080</v>
      </c>
      <c r="BR31" s="168">
        <v>7404.8</v>
      </c>
      <c r="BS31" s="168">
        <v>9720.7000000000007</v>
      </c>
      <c r="BT31" s="168">
        <v>10796.8</v>
      </c>
      <c r="BU31" s="168">
        <v>10726</v>
      </c>
      <c r="BV31" s="168">
        <v>38648.300000000003</v>
      </c>
      <c r="BW31" s="168">
        <v>10707</v>
      </c>
      <c r="BX31" s="168">
        <v>15629</v>
      </c>
      <c r="BY31" s="168">
        <v>9512</v>
      </c>
      <c r="BZ31" s="168">
        <v>24311</v>
      </c>
      <c r="CA31" s="168">
        <v>60159</v>
      </c>
      <c r="CB31" s="168">
        <v>13303.91</v>
      </c>
      <c r="CC31" s="168">
        <v>11373</v>
      </c>
      <c r="CD31" s="168">
        <v>20850</v>
      </c>
    </row>
    <row r="32" spans="1:82" x14ac:dyDescent="0.3">
      <c r="A32" s="167"/>
      <c r="B32" s="165"/>
      <c r="C32" s="165"/>
      <c r="D32" s="165"/>
      <c r="E32" s="165"/>
      <c r="F32" s="165"/>
      <c r="G32" s="165"/>
      <c r="H32" s="165"/>
      <c r="I32" s="165"/>
      <c r="J32" s="165"/>
      <c r="K32" s="165"/>
      <c r="L32" s="165"/>
      <c r="M32" s="165"/>
      <c r="N32" s="165"/>
      <c r="O32" s="165"/>
      <c r="P32" s="165"/>
      <c r="Q32" s="165"/>
      <c r="R32" s="165"/>
      <c r="S32" s="165"/>
      <c r="T32" s="165"/>
      <c r="U32" s="166"/>
      <c r="V32" s="165"/>
      <c r="W32" s="165"/>
      <c r="X32" s="165"/>
      <c r="Y32" s="165"/>
      <c r="Z32" s="166"/>
      <c r="AA32" s="165"/>
      <c r="AB32" s="165"/>
      <c r="AC32" s="166"/>
      <c r="AD32" s="165"/>
      <c r="AE32" s="165"/>
      <c r="AF32" s="165"/>
      <c r="AG32" s="165"/>
      <c r="AH32" s="163"/>
      <c r="AI32" s="165"/>
      <c r="AJ32" s="165"/>
      <c r="AK32" s="165"/>
      <c r="AL32" s="165"/>
      <c r="AM32" s="164"/>
      <c r="AN32" s="116"/>
      <c r="AO32" s="116"/>
      <c r="AP32" s="116"/>
      <c r="AQ32" s="116"/>
      <c r="AR32" s="163"/>
      <c r="AS32" s="116"/>
      <c r="AT32" s="116"/>
      <c r="AU32" s="116"/>
      <c r="AV32" s="116"/>
      <c r="AW32" s="163"/>
      <c r="AX32" s="116"/>
      <c r="AY32" s="116"/>
      <c r="AZ32" s="116"/>
      <c r="BA32" s="116"/>
      <c r="BB32" s="163"/>
      <c r="BC32" s="116"/>
      <c r="BD32" s="116"/>
      <c r="BE32" s="116"/>
      <c r="BF32" s="116"/>
      <c r="BG32" s="163"/>
      <c r="BH32" s="116"/>
      <c r="BI32" s="116"/>
      <c r="BJ32" s="116"/>
      <c r="BK32" s="116"/>
      <c r="BL32" s="163"/>
      <c r="BM32" s="116"/>
      <c r="BN32" s="116"/>
      <c r="BO32" s="116"/>
      <c r="BP32" s="116"/>
      <c r="BQ32" s="163"/>
      <c r="BR32" s="116"/>
      <c r="BS32" s="116"/>
      <c r="BT32" s="116"/>
      <c r="BU32" s="116"/>
      <c r="BV32" s="163"/>
      <c r="BW32" s="116"/>
      <c r="BX32" s="116"/>
      <c r="BY32" s="116"/>
      <c r="BZ32" s="116"/>
      <c r="CA32" s="163"/>
      <c r="CB32" s="163"/>
      <c r="CC32" s="163"/>
      <c r="CD32" s="163"/>
    </row>
    <row r="33" spans="1:82" s="105" customFormat="1" ht="18" customHeight="1" x14ac:dyDescent="0.3">
      <c r="A33" s="1257" t="s">
        <v>293</v>
      </c>
      <c r="B33" s="1257"/>
      <c r="C33" s="1257"/>
      <c r="D33" s="1257"/>
      <c r="E33" s="1257"/>
      <c r="F33" s="1257"/>
      <c r="G33" s="1257"/>
      <c r="H33" s="1257"/>
      <c r="I33" s="1257"/>
      <c r="J33" s="1257"/>
      <c r="K33" s="1257"/>
      <c r="L33" s="1257"/>
      <c r="M33" s="1257"/>
      <c r="N33" s="1257"/>
      <c r="O33" s="1257"/>
      <c r="P33" s="1257"/>
      <c r="Q33" s="1257"/>
      <c r="R33" s="1257"/>
      <c r="S33" s="1257"/>
      <c r="T33" s="1257"/>
      <c r="U33" s="1257"/>
      <c r="V33" s="1257"/>
      <c r="W33" s="1257"/>
      <c r="X33" s="1257"/>
      <c r="Y33" s="1257"/>
      <c r="Z33" s="1257"/>
      <c r="AA33" s="1257"/>
      <c r="AB33" s="1257"/>
      <c r="AC33" s="1257"/>
      <c r="AD33" s="1257"/>
      <c r="AE33" s="1257"/>
      <c r="AF33" s="1257"/>
      <c r="AG33" s="1257"/>
      <c r="AH33" s="1257"/>
      <c r="AI33" s="1257"/>
      <c r="AJ33" s="1257"/>
      <c r="AK33" s="1257"/>
      <c r="AL33" s="1257"/>
      <c r="AM33" s="1257"/>
      <c r="AN33" s="1257"/>
      <c r="AO33" s="1257"/>
      <c r="AP33" s="1257"/>
      <c r="AQ33" s="1257"/>
      <c r="AR33" s="1257"/>
      <c r="AS33" s="1257"/>
      <c r="AT33" s="1257"/>
      <c r="AU33" s="1257"/>
      <c r="AV33" s="1257"/>
      <c r="AW33" s="1257"/>
      <c r="AX33" s="1257"/>
      <c r="AY33" s="1257"/>
      <c r="AZ33" s="1257"/>
      <c r="BA33" s="1257"/>
      <c r="BB33" s="1257"/>
      <c r="BC33" s="1257"/>
      <c r="BD33" s="1257"/>
      <c r="BE33" s="1257"/>
      <c r="BF33" s="1257"/>
      <c r="BG33" s="1257"/>
      <c r="BH33" s="1257"/>
      <c r="BI33" s="1257"/>
      <c r="BJ33" s="1257"/>
      <c r="BK33" s="1257"/>
      <c r="BL33" s="1257"/>
      <c r="BM33" s="1257"/>
      <c r="BN33" s="1257"/>
      <c r="BO33" s="1257"/>
      <c r="BP33" s="1257"/>
      <c r="BQ33" s="1257"/>
      <c r="BR33" s="1257"/>
      <c r="BS33" s="1257"/>
      <c r="BT33" s="1257"/>
      <c r="BU33" s="1257"/>
      <c r="BV33" s="1257"/>
      <c r="BW33" s="1257"/>
      <c r="BX33" s="1257"/>
      <c r="BY33" s="1257"/>
      <c r="BZ33" s="1257"/>
      <c r="CA33" s="1257"/>
      <c r="CB33" s="1257"/>
      <c r="CC33" s="1257"/>
      <c r="CD33" s="1257"/>
    </row>
    <row r="34" spans="1:82" s="105" customFormat="1" ht="13" x14ac:dyDescent="0.3">
      <c r="A34" s="1258" t="s">
        <v>292</v>
      </c>
      <c r="B34" s="1258"/>
      <c r="C34" s="1258"/>
      <c r="D34" s="1258"/>
      <c r="E34" s="1258"/>
      <c r="F34" s="1258"/>
      <c r="G34" s="1258"/>
      <c r="H34" s="1258"/>
      <c r="I34" s="1258"/>
      <c r="J34" s="1258"/>
      <c r="K34" s="1258"/>
      <c r="L34" s="1258"/>
      <c r="M34" s="1258"/>
      <c r="N34" s="1258"/>
      <c r="O34" s="1258"/>
      <c r="P34" s="1258"/>
      <c r="Q34" s="1258"/>
      <c r="R34" s="1258"/>
      <c r="S34" s="1258"/>
      <c r="T34" s="1258"/>
      <c r="U34" s="1258"/>
      <c r="V34" s="1258"/>
      <c r="W34" s="1258"/>
      <c r="X34" s="1258"/>
      <c r="Y34" s="1258"/>
      <c r="Z34" s="1258"/>
      <c r="AA34" s="1258"/>
      <c r="AB34" s="1258"/>
      <c r="AC34" s="1258"/>
      <c r="AD34" s="1258"/>
      <c r="AE34" s="1258"/>
      <c r="AF34" s="1258"/>
      <c r="AG34" s="1258"/>
      <c r="AH34" s="1258"/>
      <c r="AI34" s="1258"/>
      <c r="AJ34" s="1258"/>
      <c r="AK34" s="1258"/>
      <c r="AL34" s="1258"/>
      <c r="AM34" s="1258"/>
      <c r="AN34" s="1258"/>
      <c r="AO34" s="1258"/>
      <c r="AP34" s="1258"/>
      <c r="AQ34" s="1258"/>
      <c r="AR34" s="1258"/>
      <c r="AS34" s="1258"/>
      <c r="AT34" s="1258"/>
      <c r="AU34" s="1258"/>
      <c r="AV34" s="1258"/>
      <c r="AW34" s="1258"/>
      <c r="AX34" s="1258"/>
      <c r="AY34" s="1258"/>
      <c r="AZ34" s="1258"/>
      <c r="BA34" s="1258"/>
      <c r="BB34" s="1258"/>
      <c r="BC34" s="1258"/>
      <c r="BD34" s="1258"/>
      <c r="BE34" s="1258"/>
      <c r="BF34" s="1258"/>
      <c r="BG34" s="1258"/>
      <c r="BH34" s="1258"/>
      <c r="BI34" s="1258"/>
      <c r="BJ34" s="1258"/>
      <c r="BK34" s="1258"/>
      <c r="BL34" s="1258"/>
      <c r="BM34" s="1258"/>
      <c r="BN34" s="1258"/>
      <c r="BO34" s="1258"/>
      <c r="BP34" s="1258"/>
      <c r="BQ34" s="1258"/>
      <c r="BR34" s="1258"/>
      <c r="BS34" s="1258"/>
      <c r="BT34" s="1258"/>
      <c r="BU34" s="1258"/>
      <c r="BV34" s="1258"/>
      <c r="BW34" s="1258"/>
      <c r="BX34" s="1258"/>
      <c r="BY34" s="1258"/>
      <c r="BZ34" s="1258"/>
      <c r="CA34" s="1258"/>
      <c r="CB34" s="1258"/>
      <c r="CC34" s="1258"/>
      <c r="CD34" s="1258"/>
    </row>
    <row r="35" spans="1:82" s="105" customFormat="1" ht="13" x14ac:dyDescent="0.3">
      <c r="A35" s="1258" t="s">
        <v>999</v>
      </c>
      <c r="B35" s="1258"/>
      <c r="C35" s="1258"/>
      <c r="D35" s="1258"/>
      <c r="E35" s="1258"/>
      <c r="F35" s="1258"/>
      <c r="G35" s="1258"/>
      <c r="H35" s="1258"/>
      <c r="I35" s="1258"/>
      <c r="J35" s="1258"/>
      <c r="K35" s="1258"/>
      <c r="L35" s="1258"/>
      <c r="M35" s="1258"/>
      <c r="N35" s="1258"/>
      <c r="O35" s="1258"/>
      <c r="P35" s="1258"/>
      <c r="Q35" s="1258"/>
      <c r="R35" s="1258"/>
      <c r="S35" s="1258"/>
      <c r="T35" s="1258"/>
      <c r="U35" s="1258"/>
      <c r="V35" s="1258"/>
      <c r="W35" s="1258"/>
      <c r="X35" s="1258"/>
      <c r="Y35" s="1258"/>
      <c r="Z35" s="1258"/>
      <c r="AA35" s="1258"/>
      <c r="AB35" s="1258"/>
      <c r="AC35" s="1258"/>
      <c r="AD35" s="1258"/>
      <c r="AE35" s="1258"/>
      <c r="AF35" s="1258"/>
      <c r="AG35" s="1258"/>
      <c r="AH35" s="1258"/>
      <c r="AI35" s="1258"/>
      <c r="AJ35" s="1258"/>
      <c r="AK35" s="1258"/>
      <c r="AL35" s="1258"/>
      <c r="AM35" s="1258"/>
      <c r="AN35" s="1258"/>
      <c r="AO35" s="1258"/>
      <c r="AP35" s="1258"/>
      <c r="AQ35" s="1258"/>
      <c r="AR35" s="1258"/>
      <c r="AS35" s="1258"/>
      <c r="AT35" s="1258"/>
      <c r="AU35" s="1258"/>
      <c r="AV35" s="1258"/>
      <c r="AW35" s="1258"/>
      <c r="AX35" s="1258"/>
      <c r="AY35" s="1258"/>
      <c r="AZ35" s="1258"/>
      <c r="BA35" s="1258"/>
      <c r="BB35" s="1258"/>
      <c r="BC35" s="1258"/>
      <c r="BD35" s="1258"/>
      <c r="BE35" s="1258"/>
      <c r="BF35" s="1258"/>
      <c r="BG35" s="1258"/>
      <c r="BH35" s="1258"/>
      <c r="BI35" s="1258"/>
      <c r="BJ35" s="1258"/>
      <c r="BK35" s="1258"/>
      <c r="BL35" s="1258"/>
      <c r="BM35" s="1258"/>
      <c r="BN35" s="1258"/>
      <c r="BO35" s="1258"/>
      <c r="BP35" s="1258"/>
      <c r="BQ35" s="1258"/>
      <c r="BR35" s="1258"/>
      <c r="BS35" s="1258"/>
      <c r="BT35" s="1258"/>
      <c r="BU35" s="1258"/>
      <c r="BV35" s="1258"/>
      <c r="BW35" s="1258"/>
      <c r="BX35" s="1258"/>
      <c r="BY35" s="1258"/>
      <c r="BZ35" s="1258"/>
      <c r="CA35" s="1258"/>
      <c r="CB35" s="1258"/>
      <c r="CC35" s="1258"/>
      <c r="CD35" s="1258"/>
    </row>
    <row r="36" spans="1:82" ht="42.15" hidden="1" customHeight="1" x14ac:dyDescent="0.3">
      <c r="A36" s="1245" t="s">
        <v>291</v>
      </c>
      <c r="B36" s="1245"/>
      <c r="C36" s="1245"/>
      <c r="D36" s="1245"/>
      <c r="E36" s="1245"/>
      <c r="F36" s="1245"/>
      <c r="G36" s="1245"/>
      <c r="H36" s="1245"/>
      <c r="I36" s="1245"/>
      <c r="J36" s="1245"/>
      <c r="K36" s="1245"/>
      <c r="L36" s="1245"/>
      <c r="M36" s="1245"/>
      <c r="N36" s="1245"/>
      <c r="O36" s="1245"/>
      <c r="P36" s="1245"/>
      <c r="Q36" s="1245"/>
      <c r="R36" s="1245"/>
      <c r="S36" s="1245"/>
      <c r="T36" s="1245"/>
      <c r="U36" s="1245"/>
      <c r="V36" s="1245"/>
      <c r="W36" s="1245"/>
      <c r="X36" s="1245"/>
      <c r="Y36" s="1245"/>
      <c r="Z36" s="1245"/>
      <c r="AA36" s="1245"/>
      <c r="AB36" s="1245"/>
      <c r="AC36" s="1245"/>
      <c r="AD36" s="1245"/>
      <c r="AE36" s="1245"/>
      <c r="AF36" s="1245"/>
      <c r="AG36" s="1245"/>
      <c r="AH36" s="1245"/>
      <c r="AI36" s="1245"/>
      <c r="AJ36" s="1245"/>
      <c r="AK36" s="1245"/>
      <c r="AL36" s="1245"/>
      <c r="AM36" s="1245"/>
      <c r="AN36" s="1245"/>
      <c r="AO36" s="1245"/>
      <c r="AP36" s="1245"/>
      <c r="AQ36" s="1245"/>
      <c r="AR36" s="1245"/>
      <c r="AS36" s="1245"/>
      <c r="AT36" s="1245"/>
      <c r="AU36" s="1245"/>
      <c r="AV36" s="1245"/>
      <c r="AW36" s="1245"/>
      <c r="AX36" s="1245"/>
      <c r="AY36" s="1245"/>
      <c r="AZ36" s="1245"/>
      <c r="BA36" s="1245"/>
      <c r="BB36" s="1245"/>
      <c r="BC36" s="1245"/>
      <c r="BD36" s="1245"/>
      <c r="BE36" s="1245"/>
      <c r="BF36" s="1245"/>
      <c r="BG36" s="1245"/>
      <c r="BH36" s="1245"/>
      <c r="BI36" s="1245"/>
      <c r="BJ36" s="1245"/>
      <c r="BK36" s="1245"/>
      <c r="BL36" s="1245"/>
      <c r="BM36" s="1245"/>
      <c r="BN36" s="1245"/>
      <c r="BO36" s="1245"/>
      <c r="BP36" s="1245"/>
      <c r="BQ36" s="1245"/>
      <c r="BR36" s="1245"/>
      <c r="BS36" s="1245"/>
      <c r="BT36" s="1245"/>
      <c r="BU36" s="1245"/>
      <c r="BV36" s="1245"/>
      <c r="BW36" s="1245"/>
      <c r="BX36" s="1245"/>
      <c r="BY36" s="1245"/>
      <c r="BZ36" s="1245"/>
      <c r="CA36" s="1245"/>
      <c r="CB36" s="1245"/>
      <c r="CC36" s="1245"/>
      <c r="CD36" s="1245"/>
    </row>
    <row r="37" spans="1:82" x14ac:dyDescent="0.3">
      <c r="A37" s="155"/>
      <c r="B37" s="105"/>
    </row>
    <row r="38" spans="1:82" x14ac:dyDescent="0.3">
      <c r="A38" s="160"/>
      <c r="B38" s="159"/>
      <c r="C38" s="159"/>
      <c r="D38" s="159"/>
    </row>
    <row r="39" spans="1:82" x14ac:dyDescent="0.3">
      <c r="A39" s="160"/>
      <c r="B39" s="159"/>
      <c r="C39" s="159"/>
      <c r="D39" s="159"/>
    </row>
    <row r="40" spans="1:82" x14ac:dyDescent="0.3">
      <c r="A40" s="160"/>
      <c r="B40" s="159"/>
      <c r="C40" s="159"/>
    </row>
    <row r="41" spans="1:82" x14ac:dyDescent="0.3">
      <c r="A41" s="155"/>
      <c r="B41" s="159"/>
      <c r="C41" s="159"/>
    </row>
    <row r="42" spans="1:82" x14ac:dyDescent="0.3">
      <c r="A42" s="160"/>
      <c r="B42" s="159"/>
      <c r="C42" s="159"/>
      <c r="D42" s="159"/>
    </row>
    <row r="43" spans="1:82" x14ac:dyDescent="0.3">
      <c r="A43" s="105"/>
    </row>
    <row r="44" spans="1:82" x14ac:dyDescent="0.3">
      <c r="A44" s="158"/>
      <c r="B44" s="157"/>
      <c r="C44" s="157"/>
      <c r="D44" s="157"/>
      <c r="E44" s="157"/>
      <c r="F44" s="157"/>
    </row>
    <row r="48" spans="1:82" x14ac:dyDescent="0.3">
      <c r="A48" s="155"/>
      <c r="B48" s="155"/>
      <c r="C48" s="155"/>
      <c r="D48" s="155"/>
      <c r="E48" s="155"/>
      <c r="F48" s="155"/>
    </row>
    <row r="49" spans="1:6" x14ac:dyDescent="0.3">
      <c r="A49" s="155"/>
      <c r="B49" s="155"/>
      <c r="C49" s="155"/>
      <c r="D49" s="155"/>
      <c r="E49" s="155"/>
      <c r="F49" s="155"/>
    </row>
    <row r="50" spans="1:6" x14ac:dyDescent="0.3">
      <c r="A50" s="155"/>
      <c r="B50" s="155"/>
      <c r="C50" s="155"/>
      <c r="D50" s="155"/>
      <c r="E50" s="155"/>
      <c r="F50" s="155"/>
    </row>
  </sheetData>
  <mergeCells count="38">
    <mergeCell ref="BH4:BK4"/>
    <mergeCell ref="BL4:BL5"/>
    <mergeCell ref="AI4:AL4"/>
    <mergeCell ref="Z4:Z5"/>
    <mergeCell ref="AA4:AB4"/>
    <mergeCell ref="AC4:AC5"/>
    <mergeCell ref="A2:CD2"/>
    <mergeCell ref="A33:CD33"/>
    <mergeCell ref="A34:CD34"/>
    <mergeCell ref="A35:CD35"/>
    <mergeCell ref="B4:E4"/>
    <mergeCell ref="F4:F5"/>
    <mergeCell ref="G4:J4"/>
    <mergeCell ref="K4:K5"/>
    <mergeCell ref="L4:O4"/>
    <mergeCell ref="P4:P5"/>
    <mergeCell ref="Q4:T4"/>
    <mergeCell ref="U4:U5"/>
    <mergeCell ref="V4:Y4"/>
    <mergeCell ref="AM4:AM5"/>
    <mergeCell ref="AN4:AQ4"/>
    <mergeCell ref="AD4:AG4"/>
    <mergeCell ref="A36:CD36"/>
    <mergeCell ref="AH4:AH5"/>
    <mergeCell ref="CA4:CA5"/>
    <mergeCell ref="AS4:AV4"/>
    <mergeCell ref="AW4:AW5"/>
    <mergeCell ref="CB4:CD4"/>
    <mergeCell ref="AX4:BA4"/>
    <mergeCell ref="BB4:BB5"/>
    <mergeCell ref="BC4:BF4"/>
    <mergeCell ref="BG4:BG5"/>
    <mergeCell ref="AR4:AR5"/>
    <mergeCell ref="BM4:BP4"/>
    <mergeCell ref="BQ4:BQ5"/>
    <mergeCell ref="BR4:BU4"/>
    <mergeCell ref="BV4:BV5"/>
    <mergeCell ref="BW4:BZ4"/>
  </mergeCells>
  <pageMargins left="0.51181102362204722" right="0" top="0.72" bottom="0.39"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M57"/>
  <sheetViews>
    <sheetView showGridLines="0" zoomScale="110" zoomScaleNormal="110" workbookViewId="0">
      <pane xSplit="1" ySplit="3" topLeftCell="B4" activePane="bottomRight" state="frozen"/>
      <selection pane="topRight" activeCell="B1" sqref="B1"/>
      <selection pane="bottomLeft" activeCell="A4" sqref="A4"/>
      <selection pane="bottomRight" activeCell="CL45" sqref="CL45"/>
    </sheetView>
  </sheetViews>
  <sheetFormatPr defaultColWidth="9.08984375" defaultRowHeight="13" x14ac:dyDescent="0.3"/>
  <cols>
    <col min="1" max="1" width="62.08984375" style="1" customWidth="1"/>
    <col min="2" max="2" width="9.08984375" style="1" hidden="1" customWidth="1"/>
    <col min="3" max="3" width="8.6328125" style="1" hidden="1" customWidth="1"/>
    <col min="4" max="4" width="8.90625" style="1" hidden="1" customWidth="1"/>
    <col min="5" max="5" width="9.08984375" style="1" hidden="1" customWidth="1"/>
    <col min="6" max="7" width="8.90625" style="1" hidden="1" customWidth="1"/>
    <col min="8" max="8" width="9" style="1" hidden="1" customWidth="1"/>
    <col min="9" max="9" width="8.6328125" style="1" hidden="1" customWidth="1"/>
    <col min="10" max="10" width="8.453125" style="1" hidden="1" customWidth="1"/>
    <col min="11" max="11" width="8.90625" style="1" hidden="1" customWidth="1"/>
    <col min="12" max="12" width="9.90625" style="1" hidden="1" customWidth="1"/>
    <col min="13" max="31" width="9.08984375" style="1" hidden="1" customWidth="1"/>
    <col min="32" max="33" width="9.08984375" style="199" hidden="1" customWidth="1"/>
    <col min="34" max="34" width="10.08984375" style="1" hidden="1" customWidth="1"/>
    <col min="35" max="35" width="10" style="199" hidden="1" customWidth="1"/>
    <col min="36" max="36" width="9.36328125" style="199" hidden="1" customWidth="1"/>
    <col min="37" max="37" width="8.90625" style="199" hidden="1" customWidth="1"/>
    <col min="38" max="38" width="9.36328125" style="199" hidden="1" customWidth="1"/>
    <col min="39" max="39" width="9.90625" style="199" hidden="1" customWidth="1"/>
    <col min="40" max="41" width="9.36328125" style="199" hidden="1" customWidth="1"/>
    <col min="42" max="42" width="9.6328125" style="5" hidden="1" customWidth="1"/>
    <col min="43" max="46" width="9.08984375" style="1" hidden="1" customWidth="1"/>
    <col min="47" max="48" width="8.6328125" style="1" hidden="1" customWidth="1"/>
    <col min="49" max="50" width="8.36328125" style="1" hidden="1" customWidth="1"/>
    <col min="51" max="51" width="8.453125" style="1" hidden="1" customWidth="1"/>
    <col min="52" max="82" width="9.08984375" style="1" hidden="1" customWidth="1"/>
    <col min="83" max="83" width="9.6328125" style="1" hidden="1" customWidth="1"/>
    <col min="84" max="84" width="1.90625" style="1" hidden="1" customWidth="1"/>
    <col min="85" max="87" width="9.08984375" style="1" hidden="1" customWidth="1"/>
    <col min="88" max="88" width="9.453125" style="1" hidden="1" customWidth="1"/>
    <col min="89" max="91" width="9.453125" style="1" customWidth="1"/>
    <col min="92" max="16384" width="9.08984375" style="1"/>
  </cols>
  <sheetData>
    <row r="1" spans="1:91" ht="36" customHeight="1" x14ac:dyDescent="0.3">
      <c r="A1" s="1264" t="s">
        <v>425</v>
      </c>
      <c r="B1" s="1264"/>
      <c r="C1" s="1264"/>
      <c r="D1" s="1264"/>
      <c r="E1" s="1264"/>
      <c r="F1" s="1264"/>
      <c r="G1" s="1264"/>
      <c r="H1" s="1264"/>
      <c r="I1" s="1264"/>
      <c r="J1" s="1264"/>
      <c r="K1" s="1264"/>
      <c r="L1" s="1264"/>
      <c r="M1" s="1264"/>
      <c r="N1" s="1264"/>
      <c r="O1" s="1264"/>
      <c r="P1" s="1264"/>
      <c r="Q1" s="1264"/>
      <c r="R1" s="1264"/>
      <c r="S1" s="1264"/>
      <c r="T1" s="1264"/>
      <c r="U1" s="1264"/>
      <c r="V1" s="1264"/>
      <c r="W1" s="1264"/>
      <c r="X1" s="1264"/>
      <c r="Y1" s="1264"/>
      <c r="Z1" s="1264"/>
      <c r="AA1" s="1264"/>
      <c r="AB1" s="1264"/>
      <c r="AC1" s="1264"/>
      <c r="AD1" s="1264"/>
      <c r="AE1" s="1264"/>
      <c r="AF1" s="1264"/>
      <c r="AG1" s="1264"/>
      <c r="AH1" s="1264"/>
      <c r="AI1" s="1264"/>
      <c r="AJ1" s="1264"/>
      <c r="AK1" s="1264"/>
      <c r="AL1" s="1264"/>
      <c r="AM1" s="1264"/>
      <c r="AN1" s="1264"/>
      <c r="AO1" s="1264"/>
      <c r="AP1" s="1264"/>
      <c r="AQ1" s="1264"/>
      <c r="AR1" s="1264"/>
      <c r="AS1" s="1264"/>
      <c r="AT1" s="1264"/>
      <c r="AU1" s="1264"/>
      <c r="AV1" s="1264"/>
      <c r="AW1" s="1264"/>
      <c r="AX1" s="1264"/>
      <c r="AY1" s="1264"/>
      <c r="AZ1" s="1264"/>
      <c r="BA1" s="1264"/>
      <c r="BB1" s="1264"/>
      <c r="BC1" s="1264"/>
      <c r="BD1" s="1264"/>
      <c r="BE1" s="1264"/>
      <c r="BF1" s="1264"/>
      <c r="BG1" s="1264"/>
      <c r="BH1" s="1264"/>
      <c r="BI1" s="1264"/>
      <c r="BJ1" s="1264"/>
      <c r="BK1" s="1264"/>
      <c r="BL1" s="1264"/>
      <c r="BM1" s="1264"/>
      <c r="BN1" s="1264"/>
      <c r="BO1" s="1264"/>
      <c r="BP1" s="1264"/>
      <c r="BQ1" s="1264"/>
      <c r="BR1" s="1264"/>
      <c r="BS1" s="1264"/>
      <c r="BT1" s="1264"/>
      <c r="BU1" s="1264"/>
      <c r="BV1" s="1264"/>
      <c r="BW1" s="1264"/>
      <c r="BX1" s="1264"/>
      <c r="BY1" s="1264"/>
      <c r="BZ1" s="1264"/>
      <c r="CA1" s="1264"/>
      <c r="CB1" s="1264"/>
      <c r="CC1" s="1264"/>
      <c r="CD1" s="1264"/>
      <c r="CE1" s="1264"/>
      <c r="CF1" s="1264"/>
      <c r="CG1" s="1264"/>
      <c r="CH1" s="1264"/>
      <c r="CI1" s="1264"/>
      <c r="CJ1" s="1264"/>
      <c r="CK1" s="1264"/>
      <c r="CL1" s="1264"/>
      <c r="CM1" s="1264"/>
    </row>
    <row r="2" spans="1:91" ht="16.25" customHeight="1" x14ac:dyDescent="0.3">
      <c r="A2" s="1263" t="s">
        <v>424</v>
      </c>
      <c r="B2" s="1263"/>
      <c r="C2" s="1263"/>
      <c r="D2" s="1263"/>
      <c r="E2" s="1263"/>
      <c r="F2" s="1263"/>
      <c r="G2" s="1263"/>
      <c r="H2" s="1263"/>
      <c r="I2" s="1263"/>
      <c r="J2" s="1263"/>
      <c r="K2" s="1263"/>
      <c r="L2" s="1263"/>
      <c r="M2" s="1263"/>
      <c r="N2" s="1263"/>
      <c r="O2" s="1263"/>
      <c r="P2" s="1263"/>
      <c r="Q2" s="1263"/>
      <c r="R2" s="1263"/>
      <c r="S2" s="1263"/>
      <c r="T2" s="1263"/>
      <c r="U2" s="1263"/>
      <c r="V2" s="1263"/>
      <c r="W2" s="1263"/>
      <c r="X2" s="1263"/>
      <c r="Y2" s="1263"/>
      <c r="Z2" s="1263"/>
      <c r="AA2" s="1263"/>
      <c r="AB2" s="1263"/>
      <c r="AC2" s="1263"/>
      <c r="AD2" s="1263"/>
      <c r="AE2" s="1263"/>
      <c r="AF2" s="1263"/>
      <c r="AG2" s="1263"/>
      <c r="AH2" s="1263"/>
      <c r="AI2" s="1263"/>
      <c r="AJ2" s="1263"/>
      <c r="AK2" s="1263"/>
      <c r="AL2" s="1263"/>
      <c r="AM2" s="1263"/>
      <c r="AN2" s="1263"/>
      <c r="AO2" s="1263"/>
      <c r="AP2" s="1263"/>
      <c r="AQ2" s="1263"/>
      <c r="AR2" s="1263"/>
      <c r="AS2" s="1263"/>
      <c r="AT2" s="1263"/>
      <c r="AU2" s="1263"/>
      <c r="BD2" s="199"/>
      <c r="BG2" s="199"/>
      <c r="BI2" s="199"/>
      <c r="BK2" s="199"/>
      <c r="BL2" s="199"/>
      <c r="BM2" s="199"/>
      <c r="BN2" s="199"/>
      <c r="BO2" s="199"/>
      <c r="BP2" s="199"/>
      <c r="BQ2" s="199"/>
      <c r="BR2" s="199"/>
      <c r="BS2" s="199"/>
      <c r="BT2" s="199"/>
      <c r="BU2" s="199"/>
      <c r="BV2" s="199"/>
      <c r="BW2" s="199"/>
      <c r="BX2" s="199"/>
      <c r="BY2" s="199"/>
      <c r="BZ2" s="199"/>
      <c r="CA2" s="199"/>
      <c r="CD2" s="199"/>
      <c r="CE2" s="199"/>
      <c r="CF2" s="199"/>
      <c r="CG2" s="199"/>
      <c r="CH2" s="199"/>
      <c r="CI2" s="199"/>
      <c r="CJ2" s="199"/>
      <c r="CK2" s="199"/>
      <c r="CL2" s="973"/>
      <c r="CM2" s="973" t="s">
        <v>144</v>
      </c>
    </row>
    <row r="3" spans="1:91" s="273" customFormat="1" ht="14" x14ac:dyDescent="0.3">
      <c r="A3" s="276" t="s">
        <v>423</v>
      </c>
      <c r="B3" s="275">
        <v>36678</v>
      </c>
      <c r="C3" s="275">
        <v>36861</v>
      </c>
      <c r="D3" s="275">
        <v>37043</v>
      </c>
      <c r="E3" s="275">
        <v>37226</v>
      </c>
      <c r="F3" s="275">
        <v>37408</v>
      </c>
      <c r="G3" s="275">
        <v>37591</v>
      </c>
      <c r="H3" s="275">
        <v>37773</v>
      </c>
      <c r="I3" s="275">
        <v>37956</v>
      </c>
      <c r="J3" s="275">
        <v>38139</v>
      </c>
      <c r="K3" s="275">
        <v>38322</v>
      </c>
      <c r="L3" s="275">
        <v>38533</v>
      </c>
      <c r="M3" s="275">
        <v>38717</v>
      </c>
      <c r="N3" s="275">
        <v>38898</v>
      </c>
      <c r="O3" s="275">
        <v>39082</v>
      </c>
      <c r="P3" s="275">
        <v>39263</v>
      </c>
      <c r="Q3" s="275">
        <v>39355</v>
      </c>
      <c r="R3" s="275">
        <v>39447</v>
      </c>
      <c r="S3" s="275">
        <v>39538</v>
      </c>
      <c r="T3" s="275">
        <v>39629</v>
      </c>
      <c r="U3" s="275">
        <v>39721</v>
      </c>
      <c r="V3" s="275">
        <v>39812</v>
      </c>
      <c r="W3" s="275">
        <v>39903</v>
      </c>
      <c r="X3" s="275">
        <v>39994</v>
      </c>
      <c r="Y3" s="275">
        <v>40086</v>
      </c>
      <c r="Z3" s="275">
        <v>40177</v>
      </c>
      <c r="AA3" s="275">
        <v>40268</v>
      </c>
      <c r="AB3" s="275">
        <v>40359</v>
      </c>
      <c r="AC3" s="275">
        <v>40451</v>
      </c>
      <c r="AD3" s="275">
        <v>40542</v>
      </c>
      <c r="AE3" s="275">
        <v>40632</v>
      </c>
      <c r="AF3" s="275">
        <v>40724</v>
      </c>
      <c r="AG3" s="275">
        <v>40797</v>
      </c>
      <c r="AH3" s="275">
        <v>40907</v>
      </c>
      <c r="AI3" s="275">
        <v>40998</v>
      </c>
      <c r="AJ3" s="275">
        <v>41090</v>
      </c>
      <c r="AK3" s="275">
        <v>41164</v>
      </c>
      <c r="AL3" s="275">
        <v>41255</v>
      </c>
      <c r="AM3" s="275">
        <v>41363</v>
      </c>
      <c r="AN3" s="275">
        <v>41455</v>
      </c>
      <c r="AO3" s="275">
        <v>41547</v>
      </c>
      <c r="AP3" s="275">
        <v>41638</v>
      </c>
      <c r="AQ3" s="275">
        <v>41728</v>
      </c>
      <c r="AR3" s="275">
        <v>41820</v>
      </c>
      <c r="AS3" s="275">
        <v>41912</v>
      </c>
      <c r="AT3" s="275">
        <v>42004</v>
      </c>
      <c r="AU3" s="274" t="s">
        <v>422</v>
      </c>
      <c r="AV3" s="274" t="s">
        <v>421</v>
      </c>
      <c r="AW3" s="274" t="s">
        <v>420</v>
      </c>
      <c r="AX3" s="274" t="s">
        <v>419</v>
      </c>
      <c r="AY3" s="274" t="s">
        <v>418</v>
      </c>
      <c r="AZ3" s="274" t="s">
        <v>417</v>
      </c>
      <c r="BA3" s="274" t="s">
        <v>416</v>
      </c>
      <c r="BB3" s="274" t="s">
        <v>415</v>
      </c>
      <c r="BC3" s="274" t="s">
        <v>414</v>
      </c>
      <c r="BD3" s="274" t="s">
        <v>413</v>
      </c>
      <c r="BE3" s="274" t="s">
        <v>412</v>
      </c>
      <c r="BF3" s="274" t="s">
        <v>411</v>
      </c>
      <c r="BG3" s="274" t="s">
        <v>410</v>
      </c>
      <c r="BH3" s="274" t="s">
        <v>409</v>
      </c>
      <c r="BI3" s="274" t="s">
        <v>408</v>
      </c>
      <c r="BJ3" s="274" t="s">
        <v>407</v>
      </c>
      <c r="BK3" s="274" t="s">
        <v>406</v>
      </c>
      <c r="BL3" s="274" t="s">
        <v>405</v>
      </c>
      <c r="BM3" s="274" t="s">
        <v>404</v>
      </c>
      <c r="BN3" s="274" t="s">
        <v>403</v>
      </c>
      <c r="BO3" s="274" t="s">
        <v>402</v>
      </c>
      <c r="BP3" s="274" t="s">
        <v>401</v>
      </c>
      <c r="BQ3" s="274" t="s">
        <v>400</v>
      </c>
      <c r="BR3" s="274" t="s">
        <v>399</v>
      </c>
      <c r="BS3" s="274" t="s">
        <v>398</v>
      </c>
      <c r="BT3" s="274" t="s">
        <v>397</v>
      </c>
      <c r="BU3" s="274" t="s">
        <v>396</v>
      </c>
      <c r="BV3" s="274" t="s">
        <v>395</v>
      </c>
      <c r="BW3" s="274" t="s">
        <v>394</v>
      </c>
      <c r="BX3" s="274" t="s">
        <v>393</v>
      </c>
      <c r="BY3" s="274" t="s">
        <v>392</v>
      </c>
      <c r="BZ3" s="274" t="s">
        <v>391</v>
      </c>
      <c r="CA3" s="274" t="s">
        <v>390</v>
      </c>
      <c r="CB3" s="274" t="s">
        <v>389</v>
      </c>
      <c r="CC3" s="274" t="s">
        <v>388</v>
      </c>
      <c r="CD3" s="274" t="s">
        <v>387</v>
      </c>
      <c r="CE3" s="274" t="s">
        <v>386</v>
      </c>
      <c r="CF3" s="274" t="s">
        <v>385</v>
      </c>
      <c r="CG3" s="274" t="s">
        <v>384</v>
      </c>
      <c r="CH3" s="274" t="s">
        <v>383</v>
      </c>
      <c r="CI3" s="274" t="s">
        <v>382</v>
      </c>
      <c r="CJ3" s="274" t="s">
        <v>381</v>
      </c>
      <c r="CK3" s="274" t="s">
        <v>380</v>
      </c>
      <c r="CL3" s="274" t="s">
        <v>800</v>
      </c>
      <c r="CM3" s="274" t="s">
        <v>896</v>
      </c>
    </row>
    <row r="4" spans="1:91" ht="15.5" x14ac:dyDescent="0.35">
      <c r="A4" s="272"/>
      <c r="B4" s="271"/>
      <c r="C4" s="271"/>
      <c r="D4" s="271"/>
      <c r="E4" s="271"/>
      <c r="F4" s="270"/>
      <c r="G4" s="270"/>
      <c r="H4" s="269"/>
      <c r="I4" s="269"/>
      <c r="J4" s="269"/>
      <c r="K4" s="269"/>
      <c r="L4" s="269"/>
      <c r="M4" s="269"/>
      <c r="N4" s="269"/>
      <c r="O4" s="269"/>
      <c r="P4" s="269"/>
      <c r="Q4" s="60"/>
      <c r="R4" s="60"/>
      <c r="S4" s="60"/>
      <c r="T4" s="60"/>
      <c r="U4" s="60"/>
      <c r="V4" s="268"/>
      <c r="W4" s="60"/>
      <c r="X4" s="60"/>
      <c r="Y4" s="60"/>
      <c r="Z4" s="60"/>
      <c r="AA4" s="60"/>
      <c r="AB4" s="60"/>
      <c r="AC4" s="60"/>
      <c r="AD4" s="60"/>
      <c r="AE4" s="60"/>
      <c r="AF4" s="267"/>
      <c r="AG4" s="267"/>
      <c r="AH4" s="267"/>
      <c r="AI4" s="267"/>
      <c r="AJ4" s="267"/>
      <c r="AK4" s="267"/>
      <c r="AL4" s="267"/>
      <c r="AM4" s="267"/>
      <c r="AN4" s="267"/>
      <c r="AO4" s="267"/>
      <c r="AP4" s="267"/>
      <c r="AQ4" s="267"/>
      <c r="AR4" s="267"/>
      <c r="AS4" s="267"/>
      <c r="AT4" s="267"/>
      <c r="AU4" s="267"/>
      <c r="AV4" s="267"/>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1136"/>
      <c r="CM4" s="1136" t="s">
        <v>53</v>
      </c>
    </row>
    <row r="5" spans="1:91" ht="15" x14ac:dyDescent="0.3">
      <c r="A5" s="250" t="s">
        <v>379</v>
      </c>
      <c r="B5" s="211">
        <v>10190</v>
      </c>
      <c r="C5" s="211">
        <v>7114</v>
      </c>
      <c r="D5" s="211">
        <v>7168</v>
      </c>
      <c r="E5" s="211">
        <v>7442</v>
      </c>
      <c r="F5" s="211">
        <v>8785</v>
      </c>
      <c r="G5" s="211">
        <v>8850</v>
      </c>
      <c r="H5" s="211">
        <v>9708</v>
      </c>
      <c r="I5" s="211">
        <v>8960</v>
      </c>
      <c r="J5" s="211">
        <v>9092.1</v>
      </c>
      <c r="K5" s="211">
        <v>9307.7999999999993</v>
      </c>
      <c r="L5" s="211">
        <v>9905.6</v>
      </c>
      <c r="M5" s="211">
        <v>9478.4</v>
      </c>
      <c r="N5" s="211">
        <v>9255.5</v>
      </c>
      <c r="O5" s="211">
        <v>9752</v>
      </c>
      <c r="P5" s="211">
        <v>14206.4</v>
      </c>
      <c r="Q5" s="211">
        <v>16004.4</v>
      </c>
      <c r="R5" s="211">
        <v>14021.6</v>
      </c>
      <c r="S5" s="211">
        <v>12288.7</v>
      </c>
      <c r="T5" s="211">
        <v>13152.3</v>
      </c>
      <c r="U5" s="211">
        <v>12761.6</v>
      </c>
      <c r="V5" s="211">
        <v>13481.6</v>
      </c>
      <c r="W5" s="211">
        <v>14079</v>
      </c>
      <c r="X5" s="211">
        <v>18487</v>
      </c>
      <c r="Y5" s="211">
        <v>22261</v>
      </c>
      <c r="Z5" s="211">
        <v>21617</v>
      </c>
      <c r="AA5" s="211">
        <v>21016</v>
      </c>
      <c r="AB5" s="211">
        <v>21417</v>
      </c>
      <c r="AC5" s="211">
        <v>24323</v>
      </c>
      <c r="AD5" s="211">
        <v>26791.4</v>
      </c>
      <c r="AE5" s="211">
        <v>29336.400000000001</v>
      </c>
      <c r="AF5" s="212">
        <v>29755.3</v>
      </c>
      <c r="AG5" s="211">
        <v>30934.9</v>
      </c>
      <c r="AH5" s="211">
        <v>31351.3</v>
      </c>
      <c r="AI5" s="211">
        <v>31304</v>
      </c>
      <c r="AJ5" s="211">
        <v>34284</v>
      </c>
      <c r="AK5" s="211">
        <v>35282</v>
      </c>
      <c r="AL5" s="211">
        <v>35947</v>
      </c>
      <c r="AM5" s="211">
        <v>37359</v>
      </c>
      <c r="AN5" s="211">
        <v>42530</v>
      </c>
      <c r="AO5" s="211">
        <v>45633</v>
      </c>
      <c r="AP5" s="211">
        <v>47162</v>
      </c>
      <c r="AQ5" s="211">
        <v>48764</v>
      </c>
      <c r="AR5" s="211">
        <v>51456</v>
      </c>
      <c r="AS5" s="211">
        <v>51301</v>
      </c>
      <c r="AT5" s="211">
        <v>51429</v>
      </c>
      <c r="AU5" s="211">
        <v>56004</v>
      </c>
      <c r="AV5" s="211">
        <v>54711</v>
      </c>
      <c r="AW5" s="211">
        <v>54552</v>
      </c>
      <c r="AX5" s="211">
        <v>54676</v>
      </c>
      <c r="AY5" s="211">
        <v>54024</v>
      </c>
      <c r="AZ5" s="211">
        <v>53464</v>
      </c>
      <c r="BA5" s="211">
        <v>53104</v>
      </c>
      <c r="BB5" s="211">
        <v>51637</v>
      </c>
      <c r="BC5" s="211">
        <v>46103</v>
      </c>
      <c r="BD5" s="211">
        <v>46230.8</v>
      </c>
      <c r="BE5" s="211">
        <v>45014.7</v>
      </c>
      <c r="BF5" s="211">
        <v>45128</v>
      </c>
      <c r="BG5" s="211">
        <v>44544.1</v>
      </c>
      <c r="BH5" s="211">
        <v>44537.9</v>
      </c>
      <c r="BI5" s="211">
        <v>42078.400000000001</v>
      </c>
      <c r="BJ5" s="211">
        <v>41414.35</v>
      </c>
      <c r="BK5" s="211">
        <v>40255.5</v>
      </c>
      <c r="BL5" s="211">
        <v>40257.5</v>
      </c>
      <c r="BM5" s="211">
        <v>39203.1</v>
      </c>
      <c r="BN5" s="211">
        <v>39591.5</v>
      </c>
      <c r="BO5" s="211">
        <v>33621.600000000006</v>
      </c>
      <c r="BP5" s="211">
        <v>43688.1</v>
      </c>
      <c r="BQ5" s="211">
        <v>58956.2</v>
      </c>
      <c r="BR5" s="211">
        <v>59786.85</v>
      </c>
      <c r="BS5" s="211">
        <v>70092.100000000006</v>
      </c>
      <c r="BT5" s="211">
        <v>71939.799999999988</v>
      </c>
      <c r="BU5" s="211">
        <v>77635.3</v>
      </c>
      <c r="BV5" s="211">
        <v>77014.850000000006</v>
      </c>
      <c r="BW5" s="211">
        <v>76262.249999999985</v>
      </c>
      <c r="BX5" s="211">
        <v>73172.100000000006</v>
      </c>
      <c r="BY5" s="211">
        <v>67395.5</v>
      </c>
      <c r="BZ5" s="211">
        <v>81788.150000000009</v>
      </c>
      <c r="CA5" s="211">
        <v>85843.15</v>
      </c>
      <c r="CB5" s="211">
        <v>83874.45</v>
      </c>
      <c r="CC5" s="211">
        <v>79517.849999999991</v>
      </c>
      <c r="CD5" s="211">
        <v>83946.549999999988</v>
      </c>
      <c r="CE5" s="211">
        <v>85550.200000000012</v>
      </c>
      <c r="CF5" s="211">
        <v>85459.95</v>
      </c>
      <c r="CG5" s="211">
        <v>97020</v>
      </c>
      <c r="CH5" s="211">
        <v>96733</v>
      </c>
      <c r="CI5" s="211">
        <v>94550</v>
      </c>
      <c r="CJ5" s="211">
        <v>97127.71100000001</v>
      </c>
      <c r="CK5" s="988">
        <v>96993.400000000009</v>
      </c>
      <c r="CL5" s="211">
        <v>98826</v>
      </c>
      <c r="CM5" s="211">
        <v>98801</v>
      </c>
    </row>
    <row r="6" spans="1:91" ht="18.5" x14ac:dyDescent="0.35">
      <c r="A6" s="238" t="s">
        <v>378</v>
      </c>
      <c r="B6" s="218">
        <v>299</v>
      </c>
      <c r="C6" s="259">
        <v>222</v>
      </c>
      <c r="D6" s="259">
        <v>352</v>
      </c>
      <c r="E6" s="259">
        <v>444</v>
      </c>
      <c r="F6" s="265">
        <v>320</v>
      </c>
      <c r="G6" s="265">
        <v>512</v>
      </c>
      <c r="H6" s="265">
        <v>524</v>
      </c>
      <c r="I6" s="265">
        <v>513</v>
      </c>
      <c r="J6" s="263">
        <v>124.5</v>
      </c>
      <c r="K6" s="263">
        <v>315.5</v>
      </c>
      <c r="L6" s="264">
        <v>350.1</v>
      </c>
      <c r="M6" s="263">
        <v>20</v>
      </c>
      <c r="N6" s="263">
        <v>6.9</v>
      </c>
      <c r="O6" s="263">
        <v>0</v>
      </c>
      <c r="P6" s="218">
        <v>3078.3999999999996</v>
      </c>
      <c r="Q6" s="218">
        <v>4717.6000000000004</v>
      </c>
      <c r="R6" s="218">
        <v>3632.8999999999996</v>
      </c>
      <c r="S6" s="218">
        <v>2393</v>
      </c>
      <c r="T6" s="218">
        <v>1214.9000000000001</v>
      </c>
      <c r="U6" s="218">
        <v>842.2</v>
      </c>
      <c r="V6" s="218">
        <v>301.10000000000002</v>
      </c>
      <c r="W6" s="218">
        <v>54</v>
      </c>
      <c r="X6" s="218">
        <v>69</v>
      </c>
      <c r="Y6" s="218">
        <v>577</v>
      </c>
      <c r="Z6" s="218">
        <v>267</v>
      </c>
      <c r="AA6" s="218">
        <v>60</v>
      </c>
      <c r="AB6" s="218">
        <v>29</v>
      </c>
      <c r="AC6" s="218">
        <v>51</v>
      </c>
      <c r="AD6" s="218">
        <v>106</v>
      </c>
      <c r="AE6" s="218">
        <v>82</v>
      </c>
      <c r="AF6" s="262">
        <v>15</v>
      </c>
      <c r="AG6" s="218">
        <v>65</v>
      </c>
      <c r="AH6" s="218">
        <v>273</v>
      </c>
      <c r="AI6" s="218">
        <v>331</v>
      </c>
      <c r="AJ6" s="218">
        <v>820</v>
      </c>
      <c r="AK6" s="218">
        <v>387</v>
      </c>
      <c r="AL6" s="218">
        <v>216</v>
      </c>
      <c r="AM6" s="218">
        <v>36</v>
      </c>
      <c r="AN6" s="218">
        <v>132</v>
      </c>
      <c r="AO6" s="218">
        <v>184</v>
      </c>
      <c r="AP6" s="260">
        <v>400</v>
      </c>
      <c r="AQ6" s="261">
        <v>438</v>
      </c>
      <c r="AR6" s="261">
        <v>392</v>
      </c>
      <c r="AS6" s="261">
        <v>329</v>
      </c>
      <c r="AT6" s="261">
        <v>207</v>
      </c>
      <c r="AU6" s="261">
        <v>56</v>
      </c>
      <c r="AV6" s="261">
        <v>20</v>
      </c>
      <c r="AW6" s="261">
        <v>27</v>
      </c>
      <c r="AX6" s="261">
        <v>138</v>
      </c>
      <c r="AY6" s="261">
        <v>138</v>
      </c>
      <c r="AZ6" s="260">
        <v>135</v>
      </c>
      <c r="BA6" s="261">
        <v>142</v>
      </c>
      <c r="BB6" s="261">
        <v>39</v>
      </c>
      <c r="BC6" s="260">
        <v>39</v>
      </c>
      <c r="BD6" s="260">
        <v>269.8</v>
      </c>
      <c r="BE6" s="260">
        <v>266.10000000000002</v>
      </c>
      <c r="BF6" s="260">
        <v>160</v>
      </c>
      <c r="BG6" s="261">
        <v>161.4</v>
      </c>
      <c r="BH6" s="260">
        <v>151.70000000000002</v>
      </c>
      <c r="BI6" s="260">
        <v>21.200000000000003</v>
      </c>
      <c r="BJ6" s="260">
        <v>26.2</v>
      </c>
      <c r="BK6" s="260">
        <v>20.700000000000003</v>
      </c>
      <c r="BL6" s="260">
        <v>19.100000000000001</v>
      </c>
      <c r="BM6" s="260">
        <v>22.200000000000003</v>
      </c>
      <c r="BN6" s="260">
        <v>60</v>
      </c>
      <c r="BO6" s="260">
        <v>67.900000000000006</v>
      </c>
      <c r="BP6" s="260">
        <v>81.2</v>
      </c>
      <c r="BQ6" s="260">
        <v>79.2</v>
      </c>
      <c r="BR6" s="260">
        <v>76.849999999999994</v>
      </c>
      <c r="BS6" s="260">
        <v>1179.0999999999999</v>
      </c>
      <c r="BT6" s="260">
        <v>69.45</v>
      </c>
      <c r="BU6" s="260">
        <v>61.6</v>
      </c>
      <c r="BV6" s="260">
        <v>77.800000000000011</v>
      </c>
      <c r="BW6" s="260">
        <v>84.95</v>
      </c>
      <c r="BX6" s="260">
        <v>102.85</v>
      </c>
      <c r="BY6" s="260">
        <v>111.65</v>
      </c>
      <c r="BZ6" s="260">
        <v>75.300000000000011</v>
      </c>
      <c r="CA6" s="260">
        <v>98</v>
      </c>
      <c r="CB6" s="260">
        <v>127.89999999999999</v>
      </c>
      <c r="CC6" s="260">
        <v>92.7</v>
      </c>
      <c r="CD6" s="260">
        <v>150.94999999999999</v>
      </c>
      <c r="CE6" s="260">
        <v>151.85</v>
      </c>
      <c r="CF6" s="260">
        <v>154.39999999999998</v>
      </c>
      <c r="CG6" s="261">
        <v>187</v>
      </c>
      <c r="CH6" s="260">
        <v>172</v>
      </c>
      <c r="CI6" s="261">
        <v>219</v>
      </c>
      <c r="CJ6" s="260">
        <v>285</v>
      </c>
      <c r="CK6" s="1143">
        <v>352.8</v>
      </c>
      <c r="CL6" s="260">
        <v>489</v>
      </c>
      <c r="CM6" s="260">
        <v>1359</v>
      </c>
    </row>
    <row r="7" spans="1:91" ht="4.6500000000000004" customHeight="1" x14ac:dyDescent="0.3">
      <c r="A7" s="250"/>
      <c r="B7" s="218"/>
      <c r="C7" s="259"/>
      <c r="D7" s="259"/>
      <c r="E7" s="259"/>
      <c r="F7" s="257"/>
      <c r="G7" s="257"/>
      <c r="H7" s="257"/>
      <c r="I7" s="257"/>
      <c r="J7" s="257"/>
      <c r="K7" s="257"/>
      <c r="L7" s="258"/>
      <c r="M7" s="257"/>
      <c r="N7" s="257"/>
      <c r="O7" s="257"/>
      <c r="P7" s="257"/>
      <c r="Q7" s="217"/>
      <c r="R7" s="217"/>
      <c r="S7" s="217"/>
      <c r="T7" s="217"/>
      <c r="U7" s="217"/>
      <c r="V7" s="243"/>
      <c r="W7" s="217"/>
      <c r="X7" s="217"/>
      <c r="Y7" s="217"/>
      <c r="Z7" s="217"/>
      <c r="AA7" s="217"/>
      <c r="AB7" s="217"/>
      <c r="AC7" s="217"/>
      <c r="AD7" s="217"/>
      <c r="AE7" s="217"/>
      <c r="AF7" s="256"/>
      <c r="AG7" s="217"/>
      <c r="AH7" s="217"/>
      <c r="AI7" s="217"/>
      <c r="AJ7" s="217"/>
      <c r="AK7" s="217"/>
      <c r="AL7" s="217"/>
      <c r="AM7" s="217"/>
      <c r="AN7" s="217"/>
      <c r="AO7" s="217"/>
      <c r="AP7" s="54"/>
      <c r="AQ7" s="19"/>
      <c r="AR7" s="19"/>
      <c r="AS7" s="19"/>
      <c r="AT7" s="19"/>
      <c r="AU7" s="19"/>
      <c r="AV7" s="19"/>
      <c r="AW7" s="19"/>
      <c r="AX7" s="19"/>
      <c r="AY7" s="19"/>
      <c r="AZ7" s="54"/>
      <c r="BA7" s="19"/>
      <c r="BB7" s="19"/>
      <c r="BC7" s="54"/>
      <c r="BD7" s="54"/>
      <c r="BE7" s="54"/>
      <c r="BF7" s="54"/>
      <c r="BG7" s="19"/>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19"/>
      <c r="CH7" s="54"/>
      <c r="CI7" s="19"/>
      <c r="CJ7" s="54"/>
      <c r="CK7" s="1119"/>
      <c r="CL7" s="54"/>
      <c r="CM7" s="54"/>
    </row>
    <row r="8" spans="1:91" s="52" customFormat="1" ht="15" x14ac:dyDescent="0.3">
      <c r="A8" s="224" t="s">
        <v>377</v>
      </c>
      <c r="B8" s="211">
        <v>9891</v>
      </c>
      <c r="C8" s="211">
        <v>6892</v>
      </c>
      <c r="D8" s="211">
        <v>6816</v>
      </c>
      <c r="E8" s="211">
        <v>6998</v>
      </c>
      <c r="F8" s="211">
        <v>8465</v>
      </c>
      <c r="G8" s="211">
        <v>8338</v>
      </c>
      <c r="H8" s="211">
        <v>9184</v>
      </c>
      <c r="I8" s="211">
        <v>8447</v>
      </c>
      <c r="J8" s="211">
        <v>8967.6</v>
      </c>
      <c r="K8" s="211">
        <v>8992.2999999999993</v>
      </c>
      <c r="L8" s="211">
        <v>9555.5</v>
      </c>
      <c r="M8" s="211">
        <v>9458.4</v>
      </c>
      <c r="N8" s="211">
        <v>9248.6</v>
      </c>
      <c r="O8" s="211">
        <v>9752</v>
      </c>
      <c r="P8" s="211">
        <v>11128</v>
      </c>
      <c r="Q8" s="211">
        <v>11286.8</v>
      </c>
      <c r="R8" s="211">
        <v>10388.700000000001</v>
      </c>
      <c r="S8" s="211">
        <v>9895.7000000000007</v>
      </c>
      <c r="T8" s="211">
        <v>11937.4</v>
      </c>
      <c r="U8" s="211">
        <v>11919.4</v>
      </c>
      <c r="V8" s="211">
        <v>13180.5</v>
      </c>
      <c r="W8" s="211">
        <v>14025</v>
      </c>
      <c r="X8" s="211">
        <v>18418</v>
      </c>
      <c r="Y8" s="211">
        <v>21684</v>
      </c>
      <c r="Z8" s="211">
        <v>21350</v>
      </c>
      <c r="AA8" s="211">
        <v>20956</v>
      </c>
      <c r="AB8" s="211">
        <v>21388</v>
      </c>
      <c r="AC8" s="211">
        <v>24272</v>
      </c>
      <c r="AD8" s="211">
        <v>26685.4</v>
      </c>
      <c r="AE8" s="211">
        <v>29254.400000000001</v>
      </c>
      <c r="AF8" s="211">
        <v>29740.3</v>
      </c>
      <c r="AG8" s="211">
        <v>30869.9</v>
      </c>
      <c r="AH8" s="211">
        <v>31078.3</v>
      </c>
      <c r="AI8" s="211">
        <v>30973</v>
      </c>
      <c r="AJ8" s="211">
        <v>33464</v>
      </c>
      <c r="AK8" s="211">
        <v>34895</v>
      </c>
      <c r="AL8" s="211">
        <v>35731</v>
      </c>
      <c r="AM8" s="211">
        <v>37323</v>
      </c>
      <c r="AN8" s="211">
        <v>42398</v>
      </c>
      <c r="AO8" s="211">
        <v>45449</v>
      </c>
      <c r="AP8" s="211">
        <v>46762</v>
      </c>
      <c r="AQ8" s="211">
        <v>48326</v>
      </c>
      <c r="AR8" s="211">
        <v>51064</v>
      </c>
      <c r="AS8" s="211">
        <v>50972</v>
      </c>
      <c r="AT8" s="211">
        <v>51222</v>
      </c>
      <c r="AU8" s="211">
        <v>55948</v>
      </c>
      <c r="AV8" s="211">
        <v>54691</v>
      </c>
      <c r="AW8" s="211">
        <v>54525</v>
      </c>
      <c r="AX8" s="211">
        <v>54538</v>
      </c>
      <c r="AY8" s="211">
        <v>53886</v>
      </c>
      <c r="AZ8" s="211">
        <v>53329</v>
      </c>
      <c r="BA8" s="211">
        <v>52962</v>
      </c>
      <c r="BB8" s="211">
        <v>51598</v>
      </c>
      <c r="BC8" s="211">
        <v>46064</v>
      </c>
      <c r="BD8" s="211">
        <v>45961</v>
      </c>
      <c r="BE8" s="211">
        <v>44748.6</v>
      </c>
      <c r="BF8" s="211">
        <v>44968</v>
      </c>
      <c r="BG8" s="211">
        <v>44382.7</v>
      </c>
      <c r="BH8" s="211">
        <v>44386.200000000004</v>
      </c>
      <c r="BI8" s="211">
        <v>42057.200000000004</v>
      </c>
      <c r="BJ8" s="211">
        <v>41388.15</v>
      </c>
      <c r="BK8" s="211">
        <v>40234.800000000003</v>
      </c>
      <c r="BL8" s="211">
        <v>40238.400000000001</v>
      </c>
      <c r="BM8" s="211">
        <v>39180.9</v>
      </c>
      <c r="BN8" s="211">
        <v>39531.5</v>
      </c>
      <c r="BO8" s="211">
        <v>33553.700000000004</v>
      </c>
      <c r="BP8" s="211">
        <v>43606.9</v>
      </c>
      <c r="BQ8" s="211">
        <v>58877</v>
      </c>
      <c r="BR8" s="211">
        <v>59710</v>
      </c>
      <c r="BS8" s="211">
        <v>68913</v>
      </c>
      <c r="BT8" s="211">
        <v>71870.349999999991</v>
      </c>
      <c r="BU8" s="211">
        <v>77573.7</v>
      </c>
      <c r="BV8" s="211">
        <v>76937.05</v>
      </c>
      <c r="BW8" s="211">
        <v>76177.299999999988</v>
      </c>
      <c r="BX8" s="211">
        <v>73069.25</v>
      </c>
      <c r="BY8" s="211">
        <v>67283.850000000006</v>
      </c>
      <c r="BZ8" s="211">
        <v>81712.850000000006</v>
      </c>
      <c r="CA8" s="211">
        <v>85745.15</v>
      </c>
      <c r="CB8" s="211">
        <v>83746.55</v>
      </c>
      <c r="CC8" s="211">
        <v>79425.149999999994</v>
      </c>
      <c r="CD8" s="211">
        <v>83795.599999999991</v>
      </c>
      <c r="CE8" s="211">
        <v>85398.35</v>
      </c>
      <c r="CF8" s="211">
        <v>85305.55</v>
      </c>
      <c r="CG8" s="211">
        <v>96833</v>
      </c>
      <c r="CH8" s="211">
        <v>96561</v>
      </c>
      <c r="CI8" s="211">
        <v>94331</v>
      </c>
      <c r="CJ8" s="211">
        <v>96842.71100000001</v>
      </c>
      <c r="CK8" s="988">
        <v>96640.6</v>
      </c>
      <c r="CL8" s="211">
        <v>98337</v>
      </c>
      <c r="CM8" s="211">
        <v>97442</v>
      </c>
    </row>
    <row r="9" spans="1:91" ht="18.5" x14ac:dyDescent="0.35">
      <c r="A9" s="285" t="s">
        <v>1000</v>
      </c>
      <c r="B9" s="218">
        <v>3245</v>
      </c>
      <c r="C9" s="1137">
        <v>0</v>
      </c>
      <c r="D9" s="265">
        <v>0</v>
      </c>
      <c r="E9" s="1138">
        <v>0</v>
      </c>
      <c r="F9" s="265">
        <v>0</v>
      </c>
      <c r="G9" s="1138">
        <v>0</v>
      </c>
      <c r="H9" s="265">
        <v>0</v>
      </c>
      <c r="I9" s="1138">
        <v>0</v>
      </c>
      <c r="J9" s="265">
        <v>0</v>
      </c>
      <c r="K9" s="265">
        <v>0</v>
      </c>
      <c r="L9" s="1139">
        <v>0</v>
      </c>
      <c r="M9" s="265">
        <v>0</v>
      </c>
      <c r="N9" s="265">
        <v>0</v>
      </c>
      <c r="O9" s="265">
        <v>0</v>
      </c>
      <c r="P9" s="265">
        <v>0</v>
      </c>
      <c r="Q9" s="265">
        <v>0</v>
      </c>
      <c r="R9" s="265">
        <v>0</v>
      </c>
      <c r="S9" s="265">
        <v>0</v>
      </c>
      <c r="T9" s="265">
        <v>0</v>
      </c>
      <c r="U9" s="265">
        <v>0</v>
      </c>
      <c r="V9" s="265">
        <v>0</v>
      </c>
      <c r="W9" s="265">
        <v>0</v>
      </c>
      <c r="X9" s="265">
        <v>0</v>
      </c>
      <c r="Y9" s="265">
        <v>0</v>
      </c>
      <c r="Z9" s="265">
        <v>0</v>
      </c>
      <c r="AA9" s="265">
        <v>0</v>
      </c>
      <c r="AB9" s="265">
        <v>0</v>
      </c>
      <c r="AC9" s="265">
        <v>0</v>
      </c>
      <c r="AD9" s="265">
        <v>0</v>
      </c>
      <c r="AE9" s="265">
        <v>0</v>
      </c>
      <c r="AF9" s="1140">
        <v>0</v>
      </c>
      <c r="AG9" s="1139">
        <v>10</v>
      </c>
      <c r="AH9" s="1139">
        <v>10</v>
      </c>
      <c r="AI9" s="265">
        <v>10</v>
      </c>
      <c r="AJ9" s="265">
        <v>22</v>
      </c>
      <c r="AK9" s="265">
        <v>22</v>
      </c>
      <c r="AL9" s="265">
        <v>22</v>
      </c>
      <c r="AM9" s="265">
        <v>22</v>
      </c>
      <c r="AN9" s="265">
        <v>22</v>
      </c>
      <c r="AO9" s="265">
        <v>23</v>
      </c>
      <c r="AP9" s="260">
        <v>22</v>
      </c>
      <c r="AQ9" s="261">
        <v>22</v>
      </c>
      <c r="AR9" s="261">
        <v>22</v>
      </c>
      <c r="AS9" s="261">
        <v>22</v>
      </c>
      <c r="AT9" s="261">
        <v>22</v>
      </c>
      <c r="AU9" s="261">
        <v>22</v>
      </c>
      <c r="AV9" s="261">
        <v>22</v>
      </c>
      <c r="AW9" s="261">
        <v>22</v>
      </c>
      <c r="AX9" s="261">
        <v>42</v>
      </c>
      <c r="AY9" s="261">
        <v>43</v>
      </c>
      <c r="AZ9" s="260">
        <v>43</v>
      </c>
      <c r="BA9" s="261">
        <v>43</v>
      </c>
      <c r="BB9" s="261">
        <v>43</v>
      </c>
      <c r="BC9" s="260">
        <v>135</v>
      </c>
      <c r="BD9" s="260">
        <v>31</v>
      </c>
      <c r="BE9" s="260">
        <v>21</v>
      </c>
      <c r="BF9" s="260">
        <v>105</v>
      </c>
      <c r="BG9" s="261">
        <v>108.7</v>
      </c>
      <c r="BH9" s="260">
        <v>116.19999999999999</v>
      </c>
      <c r="BI9" s="260">
        <v>132.19999999999999</v>
      </c>
      <c r="BJ9" s="260">
        <v>142.55000000000001</v>
      </c>
      <c r="BK9" s="260">
        <v>143.19999999999999</v>
      </c>
      <c r="BL9" s="260">
        <v>143.80000000000001</v>
      </c>
      <c r="BM9" s="260">
        <v>150.30000000000001</v>
      </c>
      <c r="BN9" s="260">
        <v>175.35</v>
      </c>
      <c r="BO9" s="260">
        <v>186.75</v>
      </c>
      <c r="BP9" s="260">
        <v>191.5</v>
      </c>
      <c r="BQ9" s="260">
        <v>191.55</v>
      </c>
      <c r="BR9" s="260">
        <v>190.55</v>
      </c>
      <c r="BS9" s="260">
        <v>567.45000000000005</v>
      </c>
      <c r="BT9" s="260">
        <v>186.55</v>
      </c>
      <c r="BU9" s="260">
        <v>185.75</v>
      </c>
      <c r="BV9" s="260">
        <v>224.9</v>
      </c>
      <c r="BW9" s="260">
        <v>214.25</v>
      </c>
      <c r="BX9" s="260">
        <v>174.39999999999998</v>
      </c>
      <c r="BY9" s="260">
        <v>171.2</v>
      </c>
      <c r="BZ9" s="260">
        <v>165.2</v>
      </c>
      <c r="CA9" s="260">
        <v>170.5</v>
      </c>
      <c r="CB9" s="260">
        <v>171.3</v>
      </c>
      <c r="CC9" s="260">
        <v>171.6</v>
      </c>
      <c r="CD9" s="260">
        <v>164</v>
      </c>
      <c r="CE9" s="260">
        <v>172.55</v>
      </c>
      <c r="CF9" s="260">
        <v>162.19999999999999</v>
      </c>
      <c r="CG9" s="261">
        <v>159</v>
      </c>
      <c r="CH9" s="260">
        <v>169</v>
      </c>
      <c r="CI9" s="261">
        <v>187</v>
      </c>
      <c r="CJ9" s="260">
        <v>194</v>
      </c>
      <c r="CK9" s="1143">
        <v>227.6</v>
      </c>
      <c r="CL9" s="260">
        <v>263</v>
      </c>
      <c r="CM9" s="260">
        <v>281</v>
      </c>
    </row>
    <row r="10" spans="1:91" ht="16.5" customHeight="1" x14ac:dyDescent="0.35">
      <c r="A10" s="1141" t="s">
        <v>1001</v>
      </c>
      <c r="B10" s="218">
        <v>1088</v>
      </c>
      <c r="C10" s="1137">
        <v>721</v>
      </c>
      <c r="D10" s="218">
        <v>1281</v>
      </c>
      <c r="E10" s="1137">
        <v>765</v>
      </c>
      <c r="F10" s="259">
        <v>2184</v>
      </c>
      <c r="G10" s="1142">
        <v>1805</v>
      </c>
      <c r="H10" s="259">
        <v>1881</v>
      </c>
      <c r="I10" s="259">
        <v>1690</v>
      </c>
      <c r="J10" s="259">
        <v>1937.6</v>
      </c>
      <c r="K10" s="259">
        <v>2139.3000000000002</v>
      </c>
      <c r="L10" s="218">
        <v>2247.5</v>
      </c>
      <c r="M10" s="259">
        <v>2511.6999999999998</v>
      </c>
      <c r="N10" s="259">
        <v>2187.5</v>
      </c>
      <c r="O10" s="259">
        <v>2251</v>
      </c>
      <c r="P10" s="259">
        <v>4048</v>
      </c>
      <c r="Q10" s="218">
        <v>4280.3707000000004</v>
      </c>
      <c r="R10" s="218">
        <v>3660.2</v>
      </c>
      <c r="S10" s="218">
        <v>3684.7599999999993</v>
      </c>
      <c r="T10" s="218">
        <v>4594.7</v>
      </c>
      <c r="U10" s="218">
        <v>4551.2</v>
      </c>
      <c r="V10" s="218">
        <v>4974.0999999999995</v>
      </c>
      <c r="W10" s="218">
        <v>5045</v>
      </c>
      <c r="X10" s="218">
        <v>6222</v>
      </c>
      <c r="Y10" s="218">
        <v>5695</v>
      </c>
      <c r="Z10" s="218">
        <v>5312</v>
      </c>
      <c r="AA10" s="218">
        <v>5171</v>
      </c>
      <c r="AB10" s="218">
        <v>4960</v>
      </c>
      <c r="AC10" s="218">
        <v>4992</v>
      </c>
      <c r="AD10" s="218">
        <v>4992</v>
      </c>
      <c r="AE10" s="218">
        <v>4719</v>
      </c>
      <c r="AF10" s="262">
        <v>4626</v>
      </c>
      <c r="AG10" s="218">
        <v>4574</v>
      </c>
      <c r="AH10" s="218">
        <v>4335</v>
      </c>
      <c r="AI10" s="218">
        <v>6350</v>
      </c>
      <c r="AJ10" s="218">
        <v>6412</v>
      </c>
      <c r="AK10" s="218">
        <v>6312</v>
      </c>
      <c r="AL10" s="218">
        <v>6287</v>
      </c>
      <c r="AM10" s="218">
        <v>7192</v>
      </c>
      <c r="AN10" s="218">
        <v>8142</v>
      </c>
      <c r="AO10" s="218">
        <v>8978</v>
      </c>
      <c r="AP10" s="260">
        <v>9132</v>
      </c>
      <c r="AQ10" s="261">
        <v>9717</v>
      </c>
      <c r="AR10" s="261">
        <v>10163</v>
      </c>
      <c r="AS10" s="261">
        <v>10170</v>
      </c>
      <c r="AT10" s="261">
        <v>10352</v>
      </c>
      <c r="AU10" s="261">
        <v>11126</v>
      </c>
      <c r="AV10" s="261">
        <v>10880</v>
      </c>
      <c r="AW10" s="261">
        <v>10806</v>
      </c>
      <c r="AX10" s="261">
        <v>11150</v>
      </c>
      <c r="AY10" s="261">
        <v>11049</v>
      </c>
      <c r="AZ10" s="260">
        <v>11060</v>
      </c>
      <c r="BA10" s="261">
        <v>10745</v>
      </c>
      <c r="BB10" s="261">
        <v>10737</v>
      </c>
      <c r="BC10" s="260">
        <v>10130</v>
      </c>
      <c r="BD10" s="260">
        <v>10041</v>
      </c>
      <c r="BE10" s="260">
        <v>9460.6</v>
      </c>
      <c r="BF10" s="260">
        <v>9852</v>
      </c>
      <c r="BG10" s="261">
        <v>8791</v>
      </c>
      <c r="BH10" s="260">
        <v>8951.6</v>
      </c>
      <c r="BI10" s="260">
        <v>8088.6</v>
      </c>
      <c r="BJ10" s="260">
        <v>7962.6</v>
      </c>
      <c r="BK10" s="260">
        <v>7475.6</v>
      </c>
      <c r="BL10" s="260">
        <v>7522.6</v>
      </c>
      <c r="BM10" s="260">
        <v>6858.6</v>
      </c>
      <c r="BN10" s="260">
        <v>6914.75</v>
      </c>
      <c r="BO10" s="260">
        <v>6886.55</v>
      </c>
      <c r="BP10" s="260">
        <v>6925.3</v>
      </c>
      <c r="BQ10" s="260">
        <v>6609.3</v>
      </c>
      <c r="BR10" s="260">
        <v>6611.3</v>
      </c>
      <c r="BS10" s="260">
        <v>5595.4</v>
      </c>
      <c r="BT10" s="260">
        <v>5776.4</v>
      </c>
      <c r="BU10" s="260">
        <v>5095.45</v>
      </c>
      <c r="BV10" s="260">
        <v>5006.05</v>
      </c>
      <c r="BW10" s="260">
        <v>4475.6499999999996</v>
      </c>
      <c r="BX10" s="260">
        <v>4175.6499999999996</v>
      </c>
      <c r="BY10" s="260">
        <v>3587.6499999999996</v>
      </c>
      <c r="BZ10" s="260">
        <v>3579.6499999999996</v>
      </c>
      <c r="CA10" s="260">
        <v>3424.65</v>
      </c>
      <c r="CB10" s="260">
        <v>3159.65</v>
      </c>
      <c r="CC10" s="260">
        <v>2558.5500000000002</v>
      </c>
      <c r="CD10" s="260">
        <v>2462.9</v>
      </c>
      <c r="CE10" s="260">
        <v>2286.6999999999998</v>
      </c>
      <c r="CF10" s="260">
        <v>2151.25</v>
      </c>
      <c r="CG10" s="261">
        <v>1923</v>
      </c>
      <c r="CH10" s="261">
        <v>1711</v>
      </c>
      <c r="CI10" s="261">
        <v>1461</v>
      </c>
      <c r="CJ10" s="260">
        <v>1446.16</v>
      </c>
      <c r="CK10" s="1143">
        <v>1242</v>
      </c>
      <c r="CL10" s="260">
        <v>1191</v>
      </c>
      <c r="CM10" s="260">
        <v>1005</v>
      </c>
    </row>
    <row r="11" spans="1:91" ht="16.5" customHeight="1" x14ac:dyDescent="0.35">
      <c r="A11" s="1141" t="s">
        <v>376</v>
      </c>
      <c r="B11" s="218">
        <v>5558</v>
      </c>
      <c r="C11" s="1137">
        <v>6171</v>
      </c>
      <c r="D11" s="218">
        <v>5535</v>
      </c>
      <c r="E11" s="1137">
        <v>6233</v>
      </c>
      <c r="F11" s="259">
        <v>6281</v>
      </c>
      <c r="G11" s="1142">
        <v>6533</v>
      </c>
      <c r="H11" s="259">
        <v>7303</v>
      </c>
      <c r="I11" s="259">
        <v>6757</v>
      </c>
      <c r="J11" s="259">
        <v>7030</v>
      </c>
      <c r="K11" s="259">
        <v>6853</v>
      </c>
      <c r="L11" s="218">
        <v>7308</v>
      </c>
      <c r="M11" s="259">
        <v>6946.7</v>
      </c>
      <c r="N11" s="259">
        <v>7061.1</v>
      </c>
      <c r="O11" s="259">
        <v>7501</v>
      </c>
      <c r="P11" s="259">
        <v>7080</v>
      </c>
      <c r="Q11" s="218">
        <v>7006.4292999999989</v>
      </c>
      <c r="R11" s="218">
        <v>6728.5</v>
      </c>
      <c r="S11" s="218">
        <v>6210.9400000000014</v>
      </c>
      <c r="T11" s="218">
        <v>7342.7</v>
      </c>
      <c r="U11" s="218">
        <v>7368.2</v>
      </c>
      <c r="V11" s="218">
        <v>8206.4000000000015</v>
      </c>
      <c r="W11" s="218">
        <v>8980</v>
      </c>
      <c r="X11" s="218">
        <v>12196</v>
      </c>
      <c r="Y11" s="218">
        <v>15989</v>
      </c>
      <c r="Z11" s="218">
        <v>16038</v>
      </c>
      <c r="AA11" s="218">
        <v>15785</v>
      </c>
      <c r="AB11" s="218">
        <v>16428</v>
      </c>
      <c r="AC11" s="218">
        <v>19280</v>
      </c>
      <c r="AD11" s="218">
        <v>21693.4</v>
      </c>
      <c r="AE11" s="218">
        <v>24535.4</v>
      </c>
      <c r="AF11" s="262">
        <v>25114.3</v>
      </c>
      <c r="AG11" s="218">
        <v>26285.9</v>
      </c>
      <c r="AH11" s="218">
        <v>26733.3</v>
      </c>
      <c r="AI11" s="218">
        <v>24613</v>
      </c>
      <c r="AJ11" s="218">
        <v>27030</v>
      </c>
      <c r="AK11" s="218">
        <v>28561</v>
      </c>
      <c r="AL11" s="218">
        <v>29422</v>
      </c>
      <c r="AM11" s="218">
        <v>30109</v>
      </c>
      <c r="AN11" s="218">
        <v>34234</v>
      </c>
      <c r="AO11" s="218">
        <v>36448</v>
      </c>
      <c r="AP11" s="260">
        <v>37608</v>
      </c>
      <c r="AQ11" s="261">
        <v>38587</v>
      </c>
      <c r="AR11" s="261">
        <v>40879</v>
      </c>
      <c r="AS11" s="261">
        <v>40780</v>
      </c>
      <c r="AT11" s="261">
        <v>40848</v>
      </c>
      <c r="AU11" s="261">
        <v>44800</v>
      </c>
      <c r="AV11" s="261">
        <v>43789</v>
      </c>
      <c r="AW11" s="261">
        <v>43697</v>
      </c>
      <c r="AX11" s="261">
        <v>43346</v>
      </c>
      <c r="AY11" s="261">
        <v>42794</v>
      </c>
      <c r="AZ11" s="260">
        <v>42226</v>
      </c>
      <c r="BA11" s="261">
        <v>42174</v>
      </c>
      <c r="BB11" s="261">
        <v>40818</v>
      </c>
      <c r="BC11" s="260">
        <v>35799</v>
      </c>
      <c r="BD11" s="260">
        <v>35889</v>
      </c>
      <c r="BE11" s="260">
        <v>35267</v>
      </c>
      <c r="BF11" s="260">
        <v>35011</v>
      </c>
      <c r="BG11" s="261">
        <v>35483</v>
      </c>
      <c r="BH11" s="260">
        <v>35318.400000000001</v>
      </c>
      <c r="BI11" s="260">
        <v>33836.400000000001</v>
      </c>
      <c r="BJ11" s="260">
        <v>33283</v>
      </c>
      <c r="BK11" s="260">
        <v>32616</v>
      </c>
      <c r="BL11" s="260">
        <v>32572</v>
      </c>
      <c r="BM11" s="260">
        <v>32172</v>
      </c>
      <c r="BN11" s="260">
        <v>32441.4</v>
      </c>
      <c r="BO11" s="260">
        <v>26480.400000000001</v>
      </c>
      <c r="BP11" s="260">
        <v>36490.1</v>
      </c>
      <c r="BQ11" s="260">
        <v>52076.15</v>
      </c>
      <c r="BR11" s="260">
        <v>52908.15</v>
      </c>
      <c r="BS11" s="260">
        <v>62750.15</v>
      </c>
      <c r="BT11" s="260">
        <v>65907.399999999994</v>
      </c>
      <c r="BU11" s="260">
        <v>72292.5</v>
      </c>
      <c r="BV11" s="260">
        <v>71706.100000000006</v>
      </c>
      <c r="BW11" s="260">
        <v>71487.399999999994</v>
      </c>
      <c r="BX11" s="260">
        <v>68719.199999999997</v>
      </c>
      <c r="BY11" s="260">
        <v>63525</v>
      </c>
      <c r="BZ11" s="260">
        <v>77968</v>
      </c>
      <c r="CA11" s="260">
        <v>82150</v>
      </c>
      <c r="CB11" s="260">
        <v>80415.600000000006</v>
      </c>
      <c r="CC11" s="260">
        <v>76695</v>
      </c>
      <c r="CD11" s="260">
        <v>81168.7</v>
      </c>
      <c r="CE11" s="260">
        <v>82939.100000000006</v>
      </c>
      <c r="CF11" s="260">
        <v>82992.100000000006</v>
      </c>
      <c r="CG11" s="261">
        <v>94751</v>
      </c>
      <c r="CH11" s="261">
        <v>94681</v>
      </c>
      <c r="CI11" s="261">
        <v>92683</v>
      </c>
      <c r="CJ11" s="1143">
        <v>95202.551000000007</v>
      </c>
      <c r="CK11" s="1143">
        <v>95171</v>
      </c>
      <c r="CL11" s="260">
        <v>96883</v>
      </c>
      <c r="CM11" s="260">
        <v>96156</v>
      </c>
    </row>
    <row r="12" spans="1:91" ht="16.5" customHeight="1" x14ac:dyDescent="0.35">
      <c r="A12" s="255" t="s">
        <v>375</v>
      </c>
      <c r="B12" s="227"/>
      <c r="C12" s="253"/>
      <c r="D12" s="227"/>
      <c r="E12" s="253"/>
      <c r="F12" s="251"/>
      <c r="G12" s="252"/>
      <c r="H12" s="251">
        <v>634</v>
      </c>
      <c r="I12" s="251">
        <v>610</v>
      </c>
      <c r="J12" s="251">
        <v>648</v>
      </c>
      <c r="K12" s="251">
        <v>690</v>
      </c>
      <c r="L12" s="227">
        <v>674</v>
      </c>
      <c r="M12" s="251">
        <v>690</v>
      </c>
      <c r="N12" s="251">
        <v>720</v>
      </c>
      <c r="O12" s="251">
        <v>813</v>
      </c>
      <c r="P12" s="251">
        <v>755</v>
      </c>
      <c r="Q12" s="227">
        <v>738</v>
      </c>
      <c r="R12" s="227">
        <v>702</v>
      </c>
      <c r="S12" s="227">
        <v>673</v>
      </c>
      <c r="T12" s="227">
        <v>701</v>
      </c>
      <c r="U12" s="227">
        <v>686</v>
      </c>
      <c r="V12" s="251">
        <v>770</v>
      </c>
      <c r="W12" s="227">
        <v>780</v>
      </c>
      <c r="X12" s="227">
        <v>786</v>
      </c>
      <c r="Y12" s="227">
        <v>4683</v>
      </c>
      <c r="Z12" s="227">
        <v>4597</v>
      </c>
      <c r="AA12" s="227">
        <v>4527</v>
      </c>
      <c r="AB12" s="227">
        <v>4564</v>
      </c>
      <c r="AC12" s="227">
        <v>4536</v>
      </c>
      <c r="AD12" s="227">
        <v>4504</v>
      </c>
      <c r="AE12" s="227">
        <v>4356</v>
      </c>
      <c r="AF12" s="228">
        <v>4411</v>
      </c>
      <c r="AG12" s="227">
        <v>4388</v>
      </c>
      <c r="AH12" s="227">
        <v>4359</v>
      </c>
      <c r="AI12" s="227">
        <v>4331</v>
      </c>
      <c r="AJ12" s="227">
        <v>4551</v>
      </c>
      <c r="AK12" s="227">
        <v>4545</v>
      </c>
      <c r="AL12" s="227">
        <v>4543</v>
      </c>
      <c r="AM12" s="227">
        <v>4522</v>
      </c>
      <c r="AN12" s="227">
        <v>4515</v>
      </c>
      <c r="AO12" s="227">
        <v>4525</v>
      </c>
      <c r="AP12" s="226">
        <v>4493</v>
      </c>
      <c r="AQ12" s="225">
        <v>4497</v>
      </c>
      <c r="AR12" s="225">
        <v>4525</v>
      </c>
      <c r="AS12" s="225">
        <v>4497</v>
      </c>
      <c r="AT12" s="225">
        <v>4449</v>
      </c>
      <c r="AU12" s="225">
        <v>4876</v>
      </c>
      <c r="AV12" s="225">
        <v>4775</v>
      </c>
      <c r="AW12" s="225">
        <v>4831</v>
      </c>
      <c r="AX12" s="225">
        <v>4818</v>
      </c>
      <c r="AY12" s="225">
        <v>4819</v>
      </c>
      <c r="AZ12" s="226">
        <v>4804</v>
      </c>
      <c r="BA12" s="225">
        <v>4793</v>
      </c>
      <c r="BB12" s="225">
        <v>4672</v>
      </c>
      <c r="BC12" s="226">
        <v>4647</v>
      </c>
      <c r="BD12" s="225">
        <v>4640</v>
      </c>
      <c r="BE12" s="225">
        <v>4623</v>
      </c>
      <c r="BF12" s="225">
        <v>4605</v>
      </c>
      <c r="BG12" s="225">
        <v>4677</v>
      </c>
      <c r="BH12" s="225">
        <v>4701</v>
      </c>
      <c r="BI12" s="225">
        <v>4644</v>
      </c>
      <c r="BJ12" s="225">
        <v>4611</v>
      </c>
      <c r="BK12" s="225">
        <v>4671</v>
      </c>
      <c r="BL12" s="225">
        <v>4762</v>
      </c>
      <c r="BM12" s="225">
        <v>4814</v>
      </c>
      <c r="BN12" s="225">
        <v>4899.3999999999996</v>
      </c>
      <c r="BO12" s="225">
        <v>5227.3999999999996</v>
      </c>
      <c r="BP12" s="225">
        <v>5375</v>
      </c>
      <c r="BQ12" s="225">
        <v>5457</v>
      </c>
      <c r="BR12" s="225">
        <v>5511</v>
      </c>
      <c r="BS12" s="225">
        <v>5578</v>
      </c>
      <c r="BT12" s="225">
        <v>5888.4</v>
      </c>
      <c r="BU12" s="225">
        <v>14091.8</v>
      </c>
      <c r="BV12" s="225">
        <v>14201.099999999999</v>
      </c>
      <c r="BW12" s="225">
        <v>14343.400000000001</v>
      </c>
      <c r="BX12" s="225">
        <v>14073.2</v>
      </c>
      <c r="BY12" s="225">
        <v>13342</v>
      </c>
      <c r="BZ12" s="225">
        <v>13617</v>
      </c>
      <c r="CA12" s="225">
        <v>14454</v>
      </c>
      <c r="CB12" s="225">
        <v>14274</v>
      </c>
      <c r="CC12" s="225">
        <v>13648</v>
      </c>
      <c r="CD12" s="225">
        <v>13855</v>
      </c>
      <c r="CE12" s="225">
        <v>14399</v>
      </c>
      <c r="CF12" s="225">
        <v>14579</v>
      </c>
      <c r="CG12" s="225">
        <v>14556</v>
      </c>
      <c r="CH12" s="225">
        <v>14380</v>
      </c>
      <c r="CI12" s="225">
        <v>14140</v>
      </c>
      <c r="CJ12" s="987">
        <v>14502</v>
      </c>
      <c r="CK12" s="987">
        <v>14630</v>
      </c>
      <c r="CL12" s="225">
        <v>14846</v>
      </c>
      <c r="CM12" s="225">
        <v>14941</v>
      </c>
    </row>
    <row r="13" spans="1:91" ht="15" customHeight="1" x14ac:dyDescent="0.35">
      <c r="A13" s="254"/>
      <c r="B13" s="227"/>
      <c r="C13" s="253"/>
      <c r="D13" s="227"/>
      <c r="E13" s="253"/>
      <c r="F13" s="251"/>
      <c r="G13" s="252"/>
      <c r="H13" s="251"/>
      <c r="I13" s="251"/>
      <c r="J13" s="251"/>
      <c r="K13" s="251"/>
      <c r="L13" s="227"/>
      <c r="M13" s="251"/>
      <c r="N13" s="251"/>
      <c r="O13" s="251"/>
      <c r="P13" s="251"/>
      <c r="Q13" s="227"/>
      <c r="R13" s="227"/>
      <c r="S13" s="227"/>
      <c r="T13" s="227"/>
      <c r="U13" s="227"/>
      <c r="V13" s="251"/>
      <c r="W13" s="227"/>
      <c r="X13" s="227"/>
      <c r="Y13" s="227"/>
      <c r="Z13" s="227"/>
      <c r="AA13" s="227"/>
      <c r="AB13" s="227"/>
      <c r="AC13" s="227"/>
      <c r="AD13" s="227"/>
      <c r="AE13" s="227"/>
      <c r="AF13" s="228"/>
      <c r="AG13" s="227"/>
      <c r="AH13" s="227"/>
      <c r="AI13" s="227"/>
      <c r="AJ13" s="227"/>
      <c r="AK13" s="227"/>
      <c r="AL13" s="227"/>
      <c r="AM13" s="227"/>
      <c r="AN13" s="227"/>
      <c r="AO13" s="227"/>
      <c r="AP13" s="225"/>
      <c r="AQ13" s="225"/>
      <c r="AR13" s="225"/>
      <c r="AS13" s="225"/>
      <c r="AT13" s="225"/>
      <c r="AU13" s="225"/>
      <c r="AV13" s="225"/>
      <c r="AW13" s="225"/>
      <c r="AX13" s="225"/>
      <c r="AY13" s="225"/>
      <c r="AZ13" s="225"/>
      <c r="BA13" s="225"/>
      <c r="BB13" s="225"/>
      <c r="BC13" s="225"/>
      <c r="BD13" s="225"/>
      <c r="BE13" s="225"/>
      <c r="BF13" s="225"/>
      <c r="BG13" s="225"/>
      <c r="BH13" s="226"/>
      <c r="BI13" s="226"/>
      <c r="BJ13" s="226"/>
      <c r="BK13" s="226"/>
      <c r="BL13" s="226"/>
      <c r="BM13" s="226"/>
      <c r="BN13" s="226"/>
      <c r="BO13" s="226"/>
      <c r="BP13" s="226"/>
      <c r="BQ13" s="226"/>
      <c r="BR13" s="226"/>
      <c r="BS13" s="226"/>
      <c r="BT13" s="226"/>
      <c r="BU13" s="226"/>
      <c r="BV13" s="226"/>
      <c r="BW13" s="226"/>
      <c r="BX13" s="226"/>
      <c r="BY13" s="226"/>
      <c r="BZ13" s="226"/>
      <c r="CA13" s="226"/>
      <c r="CB13" s="226"/>
      <c r="CC13" s="226"/>
      <c r="CD13" s="226"/>
      <c r="CE13" s="226"/>
      <c r="CF13" s="226"/>
      <c r="CG13" s="225"/>
      <c r="CH13" s="225"/>
      <c r="CI13" s="225"/>
      <c r="CJ13" s="987"/>
      <c r="CK13" s="987"/>
      <c r="CL13" s="226"/>
      <c r="CM13" s="226"/>
    </row>
    <row r="14" spans="1:91" ht="15" customHeight="1" x14ac:dyDescent="0.3">
      <c r="A14" s="250" t="s">
        <v>307</v>
      </c>
      <c r="B14" s="211">
        <v>46646.5</v>
      </c>
      <c r="C14" s="211">
        <v>45713.5</v>
      </c>
      <c r="D14" s="211">
        <v>53393</v>
      </c>
      <c r="E14" s="211">
        <v>57531.6</v>
      </c>
      <c r="F14" s="211">
        <v>67094.799999999988</v>
      </c>
      <c r="G14" s="211">
        <v>77106</v>
      </c>
      <c r="H14" s="211">
        <v>86413.3</v>
      </c>
      <c r="I14" s="211">
        <v>84684.2</v>
      </c>
      <c r="J14" s="211">
        <v>85002</v>
      </c>
      <c r="K14" s="211">
        <v>88721.2</v>
      </c>
      <c r="L14" s="211">
        <v>96583.9</v>
      </c>
      <c r="M14" s="211">
        <v>100937.3</v>
      </c>
      <c r="N14" s="211">
        <v>104828.5</v>
      </c>
      <c r="O14" s="211">
        <v>108379.4</v>
      </c>
      <c r="P14" s="211">
        <v>108668.9</v>
      </c>
      <c r="Q14" s="211">
        <v>101171.79999999999</v>
      </c>
      <c r="R14" s="211">
        <v>101674.19999999998</v>
      </c>
      <c r="S14" s="211">
        <v>99997.400000000009</v>
      </c>
      <c r="T14" s="211">
        <v>109836.4</v>
      </c>
      <c r="U14" s="211">
        <v>110569.49999999999</v>
      </c>
      <c r="V14" s="211">
        <v>107744.2</v>
      </c>
      <c r="W14" s="211">
        <v>112237</v>
      </c>
      <c r="X14" s="211">
        <v>117233</v>
      </c>
      <c r="Y14" s="211">
        <v>118240</v>
      </c>
      <c r="Z14" s="211">
        <v>125643</v>
      </c>
      <c r="AA14" s="211">
        <v>123037</v>
      </c>
      <c r="AB14" s="211">
        <v>126389</v>
      </c>
      <c r="AC14" s="211">
        <v>127490</v>
      </c>
      <c r="AD14" s="211">
        <v>128557</v>
      </c>
      <c r="AE14" s="211">
        <v>127939</v>
      </c>
      <c r="AF14" s="211">
        <v>129803</v>
      </c>
      <c r="AG14" s="211">
        <v>130546</v>
      </c>
      <c r="AH14" s="211">
        <v>137219</v>
      </c>
      <c r="AI14" s="211">
        <v>138274</v>
      </c>
      <c r="AJ14" s="211">
        <v>139737</v>
      </c>
      <c r="AK14" s="211">
        <v>139857</v>
      </c>
      <c r="AL14" s="211">
        <v>140807</v>
      </c>
      <c r="AM14" s="211">
        <v>142756</v>
      </c>
      <c r="AN14" s="211">
        <v>143887</v>
      </c>
      <c r="AO14" s="211">
        <v>148079</v>
      </c>
      <c r="AP14" s="211">
        <v>149960</v>
      </c>
      <c r="AQ14" s="211">
        <v>153557.9</v>
      </c>
      <c r="AR14" s="211">
        <v>156976.5</v>
      </c>
      <c r="AS14" s="211">
        <v>163044</v>
      </c>
      <c r="AT14" s="211">
        <v>165285</v>
      </c>
      <c r="AU14" s="211">
        <v>168759</v>
      </c>
      <c r="AV14" s="211">
        <v>171908</v>
      </c>
      <c r="AW14" s="211">
        <v>177634</v>
      </c>
      <c r="AX14" s="211">
        <v>181649</v>
      </c>
      <c r="AY14" s="211">
        <v>189891</v>
      </c>
      <c r="AZ14" s="211">
        <v>197798</v>
      </c>
      <c r="BA14" s="211">
        <v>201699</v>
      </c>
      <c r="BB14" s="211">
        <v>206280</v>
      </c>
      <c r="BC14" s="211">
        <v>218029</v>
      </c>
      <c r="BD14" s="211">
        <v>219202</v>
      </c>
      <c r="BE14" s="211">
        <v>217149</v>
      </c>
      <c r="BF14" s="211">
        <v>216645</v>
      </c>
      <c r="BG14" s="211">
        <v>219298</v>
      </c>
      <c r="BH14" s="211">
        <v>225783</v>
      </c>
      <c r="BI14" s="211">
        <v>234719</v>
      </c>
      <c r="BJ14" s="211">
        <v>237162</v>
      </c>
      <c r="BK14" s="211">
        <v>246360</v>
      </c>
      <c r="BL14" s="211">
        <v>249277</v>
      </c>
      <c r="BM14" s="211">
        <v>256650</v>
      </c>
      <c r="BN14" s="211">
        <v>258244</v>
      </c>
      <c r="BO14" s="211">
        <v>263516</v>
      </c>
      <c r="BP14" s="211">
        <v>304737</v>
      </c>
      <c r="BQ14" s="211">
        <v>283614</v>
      </c>
      <c r="BR14" s="211">
        <v>274734</v>
      </c>
      <c r="BS14" s="211">
        <v>289298</v>
      </c>
      <c r="BT14" s="211">
        <v>320593</v>
      </c>
      <c r="BU14" s="211">
        <v>326660</v>
      </c>
      <c r="BV14" s="211">
        <v>315846</v>
      </c>
      <c r="BW14" s="211">
        <v>323558</v>
      </c>
      <c r="BX14" s="211">
        <v>337907</v>
      </c>
      <c r="BY14" s="211">
        <v>349040</v>
      </c>
      <c r="BZ14" s="211">
        <v>346107</v>
      </c>
      <c r="CA14" s="211">
        <v>352511</v>
      </c>
      <c r="CB14" s="211">
        <v>364773</v>
      </c>
      <c r="CC14" s="211">
        <v>372242</v>
      </c>
      <c r="CD14" s="211">
        <v>382031</v>
      </c>
      <c r="CE14" s="211">
        <v>392438</v>
      </c>
      <c r="CF14" s="211">
        <v>406272</v>
      </c>
      <c r="CG14" s="211">
        <v>425087</v>
      </c>
      <c r="CH14" s="211">
        <v>441216</v>
      </c>
      <c r="CI14" s="211">
        <v>463617</v>
      </c>
      <c r="CJ14" s="988">
        <v>473240</v>
      </c>
      <c r="CK14" s="988">
        <v>493871</v>
      </c>
      <c r="CL14" s="211">
        <v>499960</v>
      </c>
      <c r="CM14" s="211">
        <v>511236</v>
      </c>
    </row>
    <row r="15" spans="1:91" ht="30.25" customHeight="1" x14ac:dyDescent="0.3">
      <c r="A15" s="249" t="s">
        <v>374</v>
      </c>
      <c r="B15" s="231">
        <v>46646.5</v>
      </c>
      <c r="C15" s="231">
        <v>45713.5</v>
      </c>
      <c r="D15" s="231">
        <v>53393</v>
      </c>
      <c r="E15" s="231">
        <v>57531.6</v>
      </c>
      <c r="F15" s="231">
        <v>67094.799999999988</v>
      </c>
      <c r="G15" s="231">
        <v>77106</v>
      </c>
      <c r="H15" s="231">
        <v>86413.3</v>
      </c>
      <c r="I15" s="231">
        <v>84684.2</v>
      </c>
      <c r="J15" s="231">
        <v>85002</v>
      </c>
      <c r="K15" s="231">
        <v>88721.2</v>
      </c>
      <c r="L15" s="231">
        <v>96583.9</v>
      </c>
      <c r="M15" s="231">
        <v>100937.3</v>
      </c>
      <c r="N15" s="231">
        <v>104828.5</v>
      </c>
      <c r="O15" s="231">
        <v>108379.4</v>
      </c>
      <c r="P15" s="231">
        <v>108668.9</v>
      </c>
      <c r="Q15" s="231">
        <v>101171.79999999999</v>
      </c>
      <c r="R15" s="231">
        <v>101674.19999999998</v>
      </c>
      <c r="S15" s="231">
        <v>99997.400000000009</v>
      </c>
      <c r="T15" s="231">
        <v>109836.4</v>
      </c>
      <c r="U15" s="231">
        <v>110569.49999999999</v>
      </c>
      <c r="V15" s="231">
        <v>107744.2</v>
      </c>
      <c r="W15" s="231">
        <v>112237</v>
      </c>
      <c r="X15" s="231">
        <v>117233</v>
      </c>
      <c r="Y15" s="231">
        <v>118240</v>
      </c>
      <c r="Z15" s="231">
        <v>125643</v>
      </c>
      <c r="AA15" s="231">
        <v>123037</v>
      </c>
      <c r="AB15" s="231">
        <v>126389</v>
      </c>
      <c r="AC15" s="231">
        <v>127490</v>
      </c>
      <c r="AD15" s="231">
        <v>128557</v>
      </c>
      <c r="AE15" s="231">
        <v>127939</v>
      </c>
      <c r="AF15" s="248">
        <v>129803</v>
      </c>
      <c r="AG15" s="231">
        <v>130546</v>
      </c>
      <c r="AH15" s="231">
        <v>137219</v>
      </c>
      <c r="AI15" s="231">
        <v>138274</v>
      </c>
      <c r="AJ15" s="231">
        <v>139737</v>
      </c>
      <c r="AK15" s="231">
        <v>139857</v>
      </c>
      <c r="AL15" s="231">
        <v>140807</v>
      </c>
      <c r="AM15" s="231">
        <v>142756</v>
      </c>
      <c r="AN15" s="231">
        <v>143887</v>
      </c>
      <c r="AO15" s="231">
        <v>148079</v>
      </c>
      <c r="AP15" s="231">
        <v>149960</v>
      </c>
      <c r="AQ15" s="231">
        <v>153557.9</v>
      </c>
      <c r="AR15" s="231">
        <v>156976.5</v>
      </c>
      <c r="AS15" s="231">
        <v>159542</v>
      </c>
      <c r="AT15" s="231">
        <v>159863</v>
      </c>
      <c r="AU15" s="231">
        <v>164081</v>
      </c>
      <c r="AV15" s="231">
        <v>168331</v>
      </c>
      <c r="AW15" s="231">
        <v>174391</v>
      </c>
      <c r="AX15" s="231">
        <v>175682</v>
      </c>
      <c r="AY15" s="231">
        <v>179483</v>
      </c>
      <c r="AZ15" s="231">
        <v>184992</v>
      </c>
      <c r="BA15" s="231">
        <v>186902</v>
      </c>
      <c r="BB15" s="231">
        <v>196108</v>
      </c>
      <c r="BC15" s="231">
        <v>202082</v>
      </c>
      <c r="BD15" s="231">
        <v>204766</v>
      </c>
      <c r="BE15" s="231">
        <v>210783</v>
      </c>
      <c r="BF15" s="231">
        <v>212918</v>
      </c>
      <c r="BG15" s="231">
        <v>218277</v>
      </c>
      <c r="BH15" s="231">
        <v>224889</v>
      </c>
      <c r="BI15" s="231">
        <v>233825</v>
      </c>
      <c r="BJ15" s="231">
        <v>236268</v>
      </c>
      <c r="BK15" s="231">
        <v>245467</v>
      </c>
      <c r="BL15" s="231">
        <v>248384</v>
      </c>
      <c r="BM15" s="231">
        <v>256381</v>
      </c>
      <c r="BN15" s="231">
        <v>258130</v>
      </c>
      <c r="BO15" s="231">
        <v>263516</v>
      </c>
      <c r="BP15" s="231">
        <v>304737</v>
      </c>
      <c r="BQ15" s="231">
        <v>283614</v>
      </c>
      <c r="BR15" s="231">
        <v>274734</v>
      </c>
      <c r="BS15" s="231">
        <v>289298</v>
      </c>
      <c r="BT15" s="231">
        <v>320593</v>
      </c>
      <c r="BU15" s="231">
        <v>326660</v>
      </c>
      <c r="BV15" s="231">
        <v>315846</v>
      </c>
      <c r="BW15" s="231">
        <v>323558</v>
      </c>
      <c r="BX15" s="231">
        <v>337907</v>
      </c>
      <c r="BY15" s="231">
        <v>349040</v>
      </c>
      <c r="BZ15" s="231">
        <v>346107</v>
      </c>
      <c r="CA15" s="231">
        <v>352511</v>
      </c>
      <c r="CB15" s="231">
        <v>364773</v>
      </c>
      <c r="CC15" s="231">
        <v>372242</v>
      </c>
      <c r="CD15" s="231">
        <v>382031</v>
      </c>
      <c r="CE15" s="231">
        <v>392438</v>
      </c>
      <c r="CF15" s="231">
        <v>406272</v>
      </c>
      <c r="CG15" s="231">
        <v>425087</v>
      </c>
      <c r="CH15" s="231">
        <v>441216</v>
      </c>
      <c r="CI15" s="231">
        <v>463617</v>
      </c>
      <c r="CJ15" s="989">
        <v>473240</v>
      </c>
      <c r="CK15" s="989">
        <v>493871</v>
      </c>
      <c r="CL15" s="231">
        <v>499960</v>
      </c>
      <c r="CM15" s="231">
        <v>511236</v>
      </c>
    </row>
    <row r="16" spans="1:91" s="52" customFormat="1" ht="17.399999999999999" customHeight="1" x14ac:dyDescent="0.3">
      <c r="A16" s="224" t="s">
        <v>359</v>
      </c>
      <c r="B16" s="211">
        <v>19837</v>
      </c>
      <c r="C16" s="211">
        <v>20286</v>
      </c>
      <c r="D16" s="211">
        <v>20715</v>
      </c>
      <c r="E16" s="211">
        <v>18632</v>
      </c>
      <c r="F16" s="211">
        <v>20426</v>
      </c>
      <c r="G16" s="211">
        <v>22075</v>
      </c>
      <c r="H16" s="211">
        <v>18610</v>
      </c>
      <c r="I16" s="211">
        <v>13840</v>
      </c>
      <c r="J16" s="211">
        <v>17262.2</v>
      </c>
      <c r="K16" s="211">
        <v>21279</v>
      </c>
      <c r="L16" s="211">
        <v>26357.9</v>
      </c>
      <c r="M16" s="211">
        <v>27332.3</v>
      </c>
      <c r="N16" s="211">
        <v>33455.899999999994</v>
      </c>
      <c r="O16" s="211">
        <v>34963.599999999999</v>
      </c>
      <c r="P16" s="211">
        <v>39339.800000000003</v>
      </c>
      <c r="Q16" s="211">
        <v>35456.699999999997</v>
      </c>
      <c r="R16" s="211">
        <v>33301.599999999999</v>
      </c>
      <c r="S16" s="211">
        <v>27929.3</v>
      </c>
      <c r="T16" s="211">
        <v>36561.4</v>
      </c>
      <c r="U16" s="211">
        <v>35536.300000000003</v>
      </c>
      <c r="V16" s="211">
        <v>28252.199999999997</v>
      </c>
      <c r="W16" s="211">
        <v>30578</v>
      </c>
      <c r="X16" s="211">
        <v>37021</v>
      </c>
      <c r="Y16" s="211">
        <v>35098</v>
      </c>
      <c r="Z16" s="211">
        <v>39321</v>
      </c>
      <c r="AA16" s="211">
        <v>36602</v>
      </c>
      <c r="AB16" s="211">
        <v>40159</v>
      </c>
      <c r="AC16" s="211">
        <v>34805</v>
      </c>
      <c r="AD16" s="211">
        <v>33909</v>
      </c>
      <c r="AE16" s="211">
        <v>33700</v>
      </c>
      <c r="AF16" s="211">
        <v>33753</v>
      </c>
      <c r="AG16" s="211">
        <v>31691</v>
      </c>
      <c r="AH16" s="211">
        <v>36067</v>
      </c>
      <c r="AI16" s="211">
        <v>33334</v>
      </c>
      <c r="AJ16" s="211">
        <v>31836</v>
      </c>
      <c r="AK16" s="211">
        <v>28324</v>
      </c>
      <c r="AL16" s="211">
        <v>31093</v>
      </c>
      <c r="AM16" s="211">
        <v>31307</v>
      </c>
      <c r="AN16" s="211">
        <v>29880</v>
      </c>
      <c r="AO16" s="211">
        <v>28851</v>
      </c>
      <c r="AP16" s="211">
        <v>27497</v>
      </c>
      <c r="AQ16" s="211">
        <v>23793.1</v>
      </c>
      <c r="AR16" s="211">
        <v>22983.5</v>
      </c>
      <c r="AS16" s="211">
        <v>20960</v>
      </c>
      <c r="AT16" s="211">
        <v>22646</v>
      </c>
      <c r="AU16" s="211">
        <v>22091</v>
      </c>
      <c r="AV16" s="211">
        <v>23852</v>
      </c>
      <c r="AW16" s="211">
        <v>24354</v>
      </c>
      <c r="AX16" s="211">
        <v>22386</v>
      </c>
      <c r="AY16" s="211">
        <v>23781</v>
      </c>
      <c r="AZ16" s="211">
        <v>22982</v>
      </c>
      <c r="BA16" s="211">
        <v>22488</v>
      </c>
      <c r="BB16" s="211">
        <v>23907</v>
      </c>
      <c r="BC16" s="211">
        <v>24932</v>
      </c>
      <c r="BD16" s="211">
        <v>25792</v>
      </c>
      <c r="BE16" s="211">
        <v>25793</v>
      </c>
      <c r="BF16" s="211">
        <v>25273</v>
      </c>
      <c r="BG16" s="211">
        <v>25060</v>
      </c>
      <c r="BH16" s="211">
        <v>25856</v>
      </c>
      <c r="BI16" s="211">
        <v>27938</v>
      </c>
      <c r="BJ16" s="211">
        <v>26283</v>
      </c>
      <c r="BK16" s="211">
        <v>29088</v>
      </c>
      <c r="BL16" s="211">
        <v>31590</v>
      </c>
      <c r="BM16" s="211">
        <v>28161</v>
      </c>
      <c r="BN16" s="211">
        <v>27271</v>
      </c>
      <c r="BO16" s="211">
        <v>30168</v>
      </c>
      <c r="BP16" s="211">
        <v>46363</v>
      </c>
      <c r="BQ16" s="211">
        <v>34145</v>
      </c>
      <c r="BR16" s="211">
        <v>24792</v>
      </c>
      <c r="BS16" s="211">
        <v>28932</v>
      </c>
      <c r="BT16" s="211">
        <v>38163</v>
      </c>
      <c r="BU16" s="211">
        <v>37925</v>
      </c>
      <c r="BV16" s="211">
        <v>32400</v>
      </c>
      <c r="BW16" s="211">
        <v>34248</v>
      </c>
      <c r="BX16" s="211">
        <v>38787</v>
      </c>
      <c r="BY16" s="211">
        <v>43145</v>
      </c>
      <c r="BZ16" s="211">
        <v>40521</v>
      </c>
      <c r="CA16" s="211">
        <v>38561</v>
      </c>
      <c r="CB16" s="211">
        <v>39611</v>
      </c>
      <c r="CC16" s="211">
        <v>37615</v>
      </c>
      <c r="CD16" s="211">
        <v>41861</v>
      </c>
      <c r="CE16" s="211">
        <v>46341</v>
      </c>
      <c r="CF16" s="211">
        <v>59732</v>
      </c>
      <c r="CG16" s="211">
        <v>68382</v>
      </c>
      <c r="CH16" s="211">
        <v>78641</v>
      </c>
      <c r="CI16" s="211">
        <v>93430</v>
      </c>
      <c r="CJ16" s="211">
        <v>96834</v>
      </c>
      <c r="CK16" s="988">
        <v>103632</v>
      </c>
      <c r="CL16" s="211">
        <v>95776</v>
      </c>
      <c r="CM16" s="211">
        <v>95058</v>
      </c>
    </row>
    <row r="17" spans="1:91" s="52" customFormat="1" ht="15" customHeight="1" x14ac:dyDescent="0.3">
      <c r="A17" s="247" t="s">
        <v>1003</v>
      </c>
      <c r="B17" s="246">
        <v>18748</v>
      </c>
      <c r="C17" s="246">
        <v>19615</v>
      </c>
      <c r="D17" s="246">
        <v>20715</v>
      </c>
      <c r="E17" s="246">
        <v>18632</v>
      </c>
      <c r="F17" s="246">
        <v>20426</v>
      </c>
      <c r="G17" s="246">
        <v>22075</v>
      </c>
      <c r="H17" s="246">
        <v>18610</v>
      </c>
      <c r="I17" s="246">
        <v>13840</v>
      </c>
      <c r="J17" s="246">
        <v>17262.2</v>
      </c>
      <c r="K17" s="246">
        <v>21279</v>
      </c>
      <c r="L17" s="246">
        <v>26357.9</v>
      </c>
      <c r="M17" s="246">
        <v>27332.3</v>
      </c>
      <c r="N17" s="246">
        <v>33455.899999999994</v>
      </c>
      <c r="O17" s="246">
        <v>29965</v>
      </c>
      <c r="P17" s="246">
        <v>39339.800000000003</v>
      </c>
      <c r="Q17" s="246">
        <v>35187.199999999997</v>
      </c>
      <c r="R17" s="246">
        <v>33301.599999999999</v>
      </c>
      <c r="S17" s="246">
        <v>27929.3</v>
      </c>
      <c r="T17" s="246">
        <v>36561.4</v>
      </c>
      <c r="U17" s="246">
        <v>35536.300000000003</v>
      </c>
      <c r="V17" s="246">
        <v>28252.199999999997</v>
      </c>
      <c r="W17" s="246">
        <v>30578</v>
      </c>
      <c r="X17" s="246">
        <v>37021</v>
      </c>
      <c r="Y17" s="246">
        <v>35098</v>
      </c>
      <c r="Z17" s="246">
        <v>34896</v>
      </c>
      <c r="AA17" s="246">
        <v>32870</v>
      </c>
      <c r="AB17" s="246">
        <v>37959</v>
      </c>
      <c r="AC17" s="246">
        <v>29385</v>
      </c>
      <c r="AD17" s="246">
        <v>31809</v>
      </c>
      <c r="AE17" s="246">
        <v>30545</v>
      </c>
      <c r="AF17" s="246">
        <v>31453</v>
      </c>
      <c r="AG17" s="246">
        <v>29691</v>
      </c>
      <c r="AH17" s="246">
        <v>31821</v>
      </c>
      <c r="AI17" s="246">
        <v>32334</v>
      </c>
      <c r="AJ17" s="246">
        <v>31836</v>
      </c>
      <c r="AK17" s="246">
        <v>28324</v>
      </c>
      <c r="AL17" s="246">
        <v>29486</v>
      </c>
      <c r="AM17" s="246">
        <v>31307</v>
      </c>
      <c r="AN17" s="246">
        <v>29861</v>
      </c>
      <c r="AO17" s="246">
        <v>28851</v>
      </c>
      <c r="AP17" s="246">
        <v>25971</v>
      </c>
      <c r="AQ17" s="246">
        <v>23757.1</v>
      </c>
      <c r="AR17" s="246">
        <v>22983.5</v>
      </c>
      <c r="AS17" s="246">
        <v>20960</v>
      </c>
      <c r="AT17" s="246">
        <v>22646</v>
      </c>
      <c r="AU17" s="246">
        <v>22091</v>
      </c>
      <c r="AV17" s="246">
        <v>23738</v>
      </c>
      <c r="AW17" s="246">
        <v>24354</v>
      </c>
      <c r="AX17" s="246">
        <v>22386</v>
      </c>
      <c r="AY17" s="246">
        <v>23781</v>
      </c>
      <c r="AZ17" s="246">
        <v>22982</v>
      </c>
      <c r="BA17" s="246">
        <v>22488</v>
      </c>
      <c r="BB17" s="246">
        <v>23907</v>
      </c>
      <c r="BC17" s="246">
        <v>24932</v>
      </c>
      <c r="BD17" s="246">
        <v>25792</v>
      </c>
      <c r="BE17" s="246">
        <v>25793</v>
      </c>
      <c r="BF17" s="246">
        <v>25273</v>
      </c>
      <c r="BG17" s="246">
        <v>25060</v>
      </c>
      <c r="BH17" s="246">
        <v>25856</v>
      </c>
      <c r="BI17" s="246">
        <v>27938</v>
      </c>
      <c r="BJ17" s="246">
        <v>26283</v>
      </c>
      <c r="BK17" s="246">
        <v>29088</v>
      </c>
      <c r="BL17" s="246">
        <v>31590</v>
      </c>
      <c r="BM17" s="246">
        <v>28161</v>
      </c>
      <c r="BN17" s="246">
        <v>27271</v>
      </c>
      <c r="BO17" s="246">
        <v>30168</v>
      </c>
      <c r="BP17" s="246">
        <v>46363</v>
      </c>
      <c r="BQ17" s="246">
        <v>34145</v>
      </c>
      <c r="BR17" s="246">
        <v>24792</v>
      </c>
      <c r="BS17" s="246">
        <v>28932</v>
      </c>
      <c r="BT17" s="246">
        <v>38163</v>
      </c>
      <c r="BU17" s="246">
        <v>37925</v>
      </c>
      <c r="BV17" s="246">
        <v>32400</v>
      </c>
      <c r="BW17" s="246">
        <v>34248</v>
      </c>
      <c r="BX17" s="246">
        <v>38787</v>
      </c>
      <c r="BY17" s="246">
        <v>43145</v>
      </c>
      <c r="BZ17" s="246">
        <v>40521</v>
      </c>
      <c r="CA17" s="246">
        <v>38561</v>
      </c>
      <c r="CB17" s="246">
        <v>39611</v>
      </c>
      <c r="CC17" s="246">
        <v>37615</v>
      </c>
      <c r="CD17" s="246">
        <v>41861</v>
      </c>
      <c r="CE17" s="246">
        <v>46341</v>
      </c>
      <c r="CF17" s="246">
        <v>59732</v>
      </c>
      <c r="CG17" s="246">
        <v>68382</v>
      </c>
      <c r="CH17" s="246">
        <v>78641</v>
      </c>
      <c r="CI17" s="246">
        <v>93430</v>
      </c>
      <c r="CJ17" s="246">
        <v>96834</v>
      </c>
      <c r="CK17" s="1144">
        <v>103632</v>
      </c>
      <c r="CL17" s="246">
        <v>95776</v>
      </c>
      <c r="CM17" s="246">
        <v>95058</v>
      </c>
    </row>
    <row r="18" spans="1:91" ht="14" x14ac:dyDescent="0.3">
      <c r="A18" s="29" t="s">
        <v>357</v>
      </c>
      <c r="B18" s="227">
        <v>4018</v>
      </c>
      <c r="C18" s="227">
        <v>5011</v>
      </c>
      <c r="D18" s="227">
        <v>1583</v>
      </c>
      <c r="E18" s="227">
        <v>1470</v>
      </c>
      <c r="F18" s="227">
        <v>2051</v>
      </c>
      <c r="G18" s="227">
        <v>2629</v>
      </c>
      <c r="H18" s="227">
        <v>912</v>
      </c>
      <c r="I18" s="227">
        <v>49</v>
      </c>
      <c r="J18" s="227">
        <v>3328.3</v>
      </c>
      <c r="K18" s="227">
        <v>4021.2</v>
      </c>
      <c r="L18" s="227">
        <v>2089.6</v>
      </c>
      <c r="M18" s="227">
        <v>1723.9</v>
      </c>
      <c r="N18" s="227">
        <v>3336.3</v>
      </c>
      <c r="O18" s="227">
        <v>4959.1000000000004</v>
      </c>
      <c r="P18" s="227">
        <v>7052.9</v>
      </c>
      <c r="Q18" s="227">
        <v>2320.6</v>
      </c>
      <c r="R18" s="227">
        <v>421.9</v>
      </c>
      <c r="S18" s="227">
        <v>1638.7</v>
      </c>
      <c r="T18" s="227">
        <v>8122.1</v>
      </c>
      <c r="U18" s="227">
        <v>6782.4</v>
      </c>
      <c r="V18" s="227">
        <v>3269.2</v>
      </c>
      <c r="W18" s="227">
        <v>5312</v>
      </c>
      <c r="X18" s="227">
        <v>8129</v>
      </c>
      <c r="Y18" s="227">
        <v>7455</v>
      </c>
      <c r="Z18" s="227">
        <v>10313</v>
      </c>
      <c r="AA18" s="227">
        <v>9218</v>
      </c>
      <c r="AB18" s="227">
        <v>10696</v>
      </c>
      <c r="AC18" s="227">
        <v>4263</v>
      </c>
      <c r="AD18" s="227">
        <v>5162</v>
      </c>
      <c r="AE18" s="227">
        <v>889</v>
      </c>
      <c r="AF18" s="228">
        <v>3018</v>
      </c>
      <c r="AG18" s="227">
        <v>3483</v>
      </c>
      <c r="AH18" s="227">
        <v>995</v>
      </c>
      <c r="AI18" s="227">
        <v>1745</v>
      </c>
      <c r="AJ18" s="227">
        <v>1053</v>
      </c>
      <c r="AK18" s="227">
        <v>1030</v>
      </c>
      <c r="AL18" s="227">
        <v>1324</v>
      </c>
      <c r="AM18" s="227">
        <v>2054</v>
      </c>
      <c r="AN18" s="227">
        <v>473</v>
      </c>
      <c r="AO18" s="227">
        <v>770</v>
      </c>
      <c r="AP18" s="226">
        <v>970</v>
      </c>
      <c r="AQ18" s="225">
        <v>1136.5</v>
      </c>
      <c r="AR18" s="225">
        <v>377.8</v>
      </c>
      <c r="AS18" s="225">
        <v>422</v>
      </c>
      <c r="AT18" s="225">
        <v>1446</v>
      </c>
      <c r="AU18" s="225">
        <v>1133</v>
      </c>
      <c r="AV18" s="225">
        <v>1484</v>
      </c>
      <c r="AW18" s="225">
        <v>2963</v>
      </c>
      <c r="AX18" s="225">
        <v>3105</v>
      </c>
      <c r="AY18" s="225">
        <v>1321</v>
      </c>
      <c r="AZ18" s="226">
        <v>1101</v>
      </c>
      <c r="BA18" s="225">
        <v>1584</v>
      </c>
      <c r="BB18" s="225">
        <v>2133</v>
      </c>
      <c r="BC18" s="226">
        <v>3447</v>
      </c>
      <c r="BD18" s="226">
        <v>1139</v>
      </c>
      <c r="BE18" s="226">
        <v>2200</v>
      </c>
      <c r="BF18" s="226">
        <v>2400</v>
      </c>
      <c r="BG18" s="225">
        <v>1497</v>
      </c>
      <c r="BH18" s="226">
        <v>2999</v>
      </c>
      <c r="BI18" s="226">
        <v>1800</v>
      </c>
      <c r="BJ18" s="226">
        <v>997</v>
      </c>
      <c r="BK18" s="226">
        <v>1000</v>
      </c>
      <c r="BL18" s="226">
        <v>350</v>
      </c>
      <c r="BM18" s="226">
        <v>0</v>
      </c>
      <c r="BN18" s="226">
        <v>0</v>
      </c>
      <c r="BO18" s="226">
        <v>1000</v>
      </c>
      <c r="BP18" s="226">
        <v>0</v>
      </c>
      <c r="BQ18" s="226">
        <v>0</v>
      </c>
      <c r="BR18" s="226">
        <v>2400</v>
      </c>
      <c r="BS18" s="226">
        <v>2500</v>
      </c>
      <c r="BT18" s="226">
        <v>3906</v>
      </c>
      <c r="BU18" s="226">
        <v>1000</v>
      </c>
      <c r="BV18" s="226">
        <v>0</v>
      </c>
      <c r="BW18" s="226">
        <v>0</v>
      </c>
      <c r="BX18" s="226">
        <v>0</v>
      </c>
      <c r="BY18" s="226">
        <v>0</v>
      </c>
      <c r="BZ18" s="226">
        <v>0</v>
      </c>
      <c r="CA18" s="226">
        <v>1300</v>
      </c>
      <c r="CB18" s="226">
        <v>2200</v>
      </c>
      <c r="CC18" s="226">
        <v>2300</v>
      </c>
      <c r="CD18" s="226">
        <v>4200</v>
      </c>
      <c r="CE18" s="226">
        <v>0</v>
      </c>
      <c r="CF18" s="226">
        <v>0</v>
      </c>
      <c r="CG18" s="225">
        <v>0</v>
      </c>
      <c r="CH18" s="244">
        <v>2800</v>
      </c>
      <c r="CI18" s="245">
        <v>2000</v>
      </c>
      <c r="CJ18" s="244">
        <v>5977</v>
      </c>
      <c r="CK18" s="1145">
        <v>0</v>
      </c>
      <c r="CL18" s="244">
        <v>2200</v>
      </c>
      <c r="CM18" s="244">
        <v>4000</v>
      </c>
    </row>
    <row r="19" spans="1:91" ht="14" hidden="1" x14ac:dyDescent="0.3">
      <c r="A19" s="29" t="s">
        <v>372</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8"/>
      <c r="AG19" s="227"/>
      <c r="AH19" s="227"/>
      <c r="AI19" s="227"/>
      <c r="AJ19" s="227"/>
      <c r="AK19" s="227"/>
      <c r="AL19" s="227"/>
      <c r="AM19" s="227"/>
      <c r="AN19" s="227"/>
      <c r="AO19" s="227"/>
      <c r="AP19" s="226"/>
      <c r="AQ19" s="225"/>
      <c r="AR19" s="225"/>
      <c r="AS19" s="225"/>
      <c r="AT19" s="225"/>
      <c r="AU19" s="225"/>
      <c r="AV19" s="225"/>
      <c r="AW19" s="225"/>
      <c r="AX19" s="225"/>
      <c r="AY19" s="225"/>
      <c r="AZ19" s="226"/>
      <c r="BA19" s="225"/>
      <c r="BB19" s="225"/>
      <c r="BC19" s="226"/>
      <c r="BD19" s="226"/>
      <c r="BE19" s="226"/>
      <c r="BF19" s="226"/>
      <c r="BG19" s="225"/>
      <c r="BH19" s="226"/>
      <c r="BI19" s="226"/>
      <c r="BJ19" s="226"/>
      <c r="BK19" s="226"/>
      <c r="BL19" s="226"/>
      <c r="BM19" s="226"/>
      <c r="BN19" s="226"/>
      <c r="BO19" s="226"/>
      <c r="BP19" s="226">
        <v>4000</v>
      </c>
      <c r="BQ19" s="226">
        <v>0</v>
      </c>
      <c r="BR19" s="226">
        <v>0</v>
      </c>
      <c r="BS19" s="226">
        <v>0</v>
      </c>
      <c r="BT19" s="226">
        <v>0</v>
      </c>
      <c r="BU19" s="226">
        <v>0</v>
      </c>
      <c r="BV19" s="226">
        <v>0</v>
      </c>
      <c r="BW19" s="226">
        <v>0</v>
      </c>
      <c r="BX19" s="226">
        <v>0</v>
      </c>
      <c r="BY19" s="226">
        <v>0</v>
      </c>
      <c r="BZ19" s="226">
        <v>0</v>
      </c>
      <c r="CA19" s="226">
        <v>0</v>
      </c>
      <c r="CB19" s="226">
        <v>0</v>
      </c>
      <c r="CC19" s="226">
        <v>0</v>
      </c>
      <c r="CD19" s="226">
        <v>0</v>
      </c>
      <c r="CE19" s="226">
        <v>0</v>
      </c>
      <c r="CF19" s="226">
        <v>0</v>
      </c>
      <c r="CG19" s="225">
        <v>0</v>
      </c>
      <c r="CH19" s="226">
        <v>0</v>
      </c>
      <c r="CI19" s="225"/>
      <c r="CJ19" s="226"/>
      <c r="CK19" s="987"/>
      <c r="CL19" s="226"/>
      <c r="CM19" s="226"/>
    </row>
    <row r="20" spans="1:91" ht="14" x14ac:dyDescent="0.3">
      <c r="A20" s="29" t="s">
        <v>356</v>
      </c>
      <c r="B20" s="227">
        <v>6875</v>
      </c>
      <c r="C20" s="227">
        <v>3126</v>
      </c>
      <c r="D20" s="227">
        <v>3414</v>
      </c>
      <c r="E20" s="227">
        <v>2899</v>
      </c>
      <c r="F20" s="227">
        <v>3888</v>
      </c>
      <c r="G20" s="227">
        <v>4934</v>
      </c>
      <c r="H20" s="227">
        <v>3522</v>
      </c>
      <c r="I20" s="227">
        <v>1228</v>
      </c>
      <c r="J20" s="227">
        <v>3663.7</v>
      </c>
      <c r="K20" s="227">
        <v>7065.5</v>
      </c>
      <c r="L20" s="227">
        <v>6154.6</v>
      </c>
      <c r="M20" s="227">
        <v>4292.3</v>
      </c>
      <c r="N20" s="227">
        <v>10131.700000000001</v>
      </c>
      <c r="O20" s="227">
        <v>6270.2</v>
      </c>
      <c r="P20" s="227">
        <v>8060.5</v>
      </c>
      <c r="Q20" s="227">
        <v>9725.1999999999989</v>
      </c>
      <c r="R20" s="227">
        <v>5544.8</v>
      </c>
      <c r="S20" s="227">
        <v>2137.8000000000002</v>
      </c>
      <c r="T20" s="227">
        <v>5250.8</v>
      </c>
      <c r="U20" s="227">
        <v>8390.2999999999993</v>
      </c>
      <c r="V20" s="227">
        <v>5355.7</v>
      </c>
      <c r="W20" s="227">
        <v>5939</v>
      </c>
      <c r="X20" s="227">
        <v>8968</v>
      </c>
      <c r="Y20" s="227">
        <v>7509</v>
      </c>
      <c r="Z20" s="227">
        <v>7409</v>
      </c>
      <c r="AA20" s="227">
        <v>9807</v>
      </c>
      <c r="AB20" s="227">
        <v>11505</v>
      </c>
      <c r="AC20" s="227">
        <v>8447</v>
      </c>
      <c r="AD20" s="227">
        <v>7646</v>
      </c>
      <c r="AE20" s="227">
        <v>8829</v>
      </c>
      <c r="AF20" s="228">
        <v>6213</v>
      </c>
      <c r="AG20" s="227">
        <v>3876</v>
      </c>
      <c r="AH20" s="227">
        <v>3650</v>
      </c>
      <c r="AI20" s="227">
        <v>5086</v>
      </c>
      <c r="AJ20" s="227">
        <v>4559</v>
      </c>
      <c r="AK20" s="227">
        <v>3446</v>
      </c>
      <c r="AL20" s="227">
        <v>4710</v>
      </c>
      <c r="AM20" s="227">
        <v>4925</v>
      </c>
      <c r="AN20" s="227">
        <v>4290</v>
      </c>
      <c r="AO20" s="227">
        <v>4400</v>
      </c>
      <c r="AP20" s="226">
        <v>3018</v>
      </c>
      <c r="AQ20" s="225">
        <v>3517.8</v>
      </c>
      <c r="AR20" s="225">
        <v>5031.8</v>
      </c>
      <c r="AS20" s="225">
        <v>3815</v>
      </c>
      <c r="AT20" s="225">
        <v>3893</v>
      </c>
      <c r="AU20" s="225">
        <v>3884</v>
      </c>
      <c r="AV20" s="225">
        <v>4700</v>
      </c>
      <c r="AW20" s="225">
        <v>5800</v>
      </c>
      <c r="AX20" s="225">
        <v>5378</v>
      </c>
      <c r="AY20" s="225">
        <v>6154</v>
      </c>
      <c r="AZ20" s="226">
        <v>5670</v>
      </c>
      <c r="BA20" s="225">
        <v>3827</v>
      </c>
      <c r="BB20" s="225">
        <v>4692</v>
      </c>
      <c r="BC20" s="226">
        <v>6915</v>
      </c>
      <c r="BD20" s="226">
        <v>6172</v>
      </c>
      <c r="BE20" s="226">
        <v>5888</v>
      </c>
      <c r="BF20" s="226">
        <v>5900</v>
      </c>
      <c r="BG20" s="225">
        <v>6226</v>
      </c>
      <c r="BH20" s="226">
        <v>8346</v>
      </c>
      <c r="BI20" s="226">
        <v>8297</v>
      </c>
      <c r="BJ20" s="226">
        <v>7250</v>
      </c>
      <c r="BK20" s="226">
        <v>8050</v>
      </c>
      <c r="BL20" s="226">
        <v>10124</v>
      </c>
      <c r="BM20" s="226">
        <v>9048</v>
      </c>
      <c r="BN20" s="226">
        <v>5401</v>
      </c>
      <c r="BO20" s="226">
        <v>9983</v>
      </c>
      <c r="BP20" s="226">
        <v>19717</v>
      </c>
      <c r="BQ20" s="226">
        <v>15897</v>
      </c>
      <c r="BR20" s="226">
        <v>7217</v>
      </c>
      <c r="BS20" s="226">
        <v>12157</v>
      </c>
      <c r="BT20" s="226">
        <v>21306</v>
      </c>
      <c r="BU20" s="226">
        <v>20974</v>
      </c>
      <c r="BV20" s="226">
        <v>15695</v>
      </c>
      <c r="BW20" s="226">
        <v>15939</v>
      </c>
      <c r="BX20" s="226">
        <v>23418</v>
      </c>
      <c r="BY20" s="226">
        <v>23690</v>
      </c>
      <c r="BZ20" s="226">
        <v>22809</v>
      </c>
      <c r="CA20" s="226">
        <v>21072</v>
      </c>
      <c r="CB20" s="226">
        <v>22333</v>
      </c>
      <c r="CC20" s="226">
        <v>21813</v>
      </c>
      <c r="CD20" s="226">
        <v>20877</v>
      </c>
      <c r="CE20" s="226">
        <v>26097</v>
      </c>
      <c r="CF20" s="226">
        <v>27919</v>
      </c>
      <c r="CG20" s="225">
        <v>29240</v>
      </c>
      <c r="CH20" s="226">
        <v>22223</v>
      </c>
      <c r="CI20" s="225">
        <v>31328</v>
      </c>
      <c r="CJ20" s="226">
        <v>27345</v>
      </c>
      <c r="CK20" s="987">
        <v>26856</v>
      </c>
      <c r="CL20" s="226">
        <v>25206</v>
      </c>
      <c r="CM20" s="226">
        <v>21102</v>
      </c>
    </row>
    <row r="21" spans="1:91" ht="14" hidden="1" x14ac:dyDescent="0.3">
      <c r="A21" s="29" t="s">
        <v>355</v>
      </c>
      <c r="B21" s="227"/>
      <c r="C21" s="227"/>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8"/>
      <c r="AG21" s="227"/>
      <c r="AH21" s="227">
        <v>4160</v>
      </c>
      <c r="AI21" s="227">
        <v>6507</v>
      </c>
      <c r="AJ21" s="227">
        <v>9627</v>
      </c>
      <c r="AK21" s="227">
        <v>6713</v>
      </c>
      <c r="AL21" s="227">
        <v>8755</v>
      </c>
      <c r="AM21" s="227">
        <v>8730</v>
      </c>
      <c r="AN21" s="227">
        <v>10065</v>
      </c>
      <c r="AO21" s="227">
        <v>8728</v>
      </c>
      <c r="AP21" s="226">
        <v>7865</v>
      </c>
      <c r="AQ21" s="225">
        <v>7726.8</v>
      </c>
      <c r="AR21" s="225">
        <v>6501</v>
      </c>
      <c r="AS21" s="225">
        <v>6413</v>
      </c>
      <c r="AT21" s="225">
        <v>5764</v>
      </c>
      <c r="AU21" s="225">
        <v>5510</v>
      </c>
      <c r="AV21" s="225">
        <v>5560</v>
      </c>
      <c r="AW21" s="225">
        <v>3500</v>
      </c>
      <c r="AX21" s="225">
        <v>2000</v>
      </c>
      <c r="AY21" s="225">
        <v>0</v>
      </c>
      <c r="AZ21" s="226">
        <v>0</v>
      </c>
      <c r="BA21" s="225">
        <v>0</v>
      </c>
      <c r="BB21" s="225">
        <v>0</v>
      </c>
      <c r="BC21" s="226">
        <v>0</v>
      </c>
      <c r="BD21" s="226">
        <v>0</v>
      </c>
      <c r="BE21" s="226">
        <v>0</v>
      </c>
      <c r="BF21" s="226">
        <v>0</v>
      </c>
      <c r="BG21" s="225">
        <v>0</v>
      </c>
      <c r="BH21" s="226">
        <v>0</v>
      </c>
      <c r="BI21" s="226">
        <v>0</v>
      </c>
      <c r="BJ21" s="226">
        <v>0</v>
      </c>
      <c r="BK21" s="226">
        <v>0</v>
      </c>
      <c r="BL21" s="226">
        <v>0</v>
      </c>
      <c r="BM21" s="226"/>
      <c r="BN21" s="226"/>
      <c r="BO21" s="226"/>
      <c r="BP21" s="226"/>
      <c r="BQ21" s="226"/>
      <c r="BR21" s="226"/>
      <c r="BS21" s="226"/>
      <c r="BT21" s="226"/>
      <c r="BU21" s="226"/>
      <c r="BV21" s="226"/>
      <c r="BW21" s="226"/>
      <c r="BX21" s="226"/>
      <c r="BY21" s="226"/>
      <c r="BZ21" s="226"/>
      <c r="CA21" s="226"/>
      <c r="CB21" s="226"/>
      <c r="CC21" s="226"/>
      <c r="CD21" s="226"/>
      <c r="CE21" s="226"/>
      <c r="CF21" s="226"/>
      <c r="CG21" s="225"/>
      <c r="CH21" s="226"/>
      <c r="CI21" s="225"/>
      <c r="CJ21" s="226"/>
      <c r="CK21" s="987"/>
      <c r="CL21" s="226"/>
      <c r="CM21" s="226"/>
    </row>
    <row r="22" spans="1:91" ht="14" x14ac:dyDescent="0.3">
      <c r="A22" s="29" t="s">
        <v>371</v>
      </c>
      <c r="B22" s="227">
        <v>8154</v>
      </c>
      <c r="C22" s="227">
        <v>11700</v>
      </c>
      <c r="D22" s="227">
        <v>16070</v>
      </c>
      <c r="E22" s="227">
        <v>14707</v>
      </c>
      <c r="F22" s="227">
        <v>14807</v>
      </c>
      <c r="G22" s="227">
        <v>15024</v>
      </c>
      <c r="H22" s="227">
        <v>14700</v>
      </c>
      <c r="I22" s="227">
        <v>13076</v>
      </c>
      <c r="J22" s="227">
        <v>10394.700000000001</v>
      </c>
      <c r="K22" s="227">
        <v>10507.8</v>
      </c>
      <c r="L22" s="227">
        <v>18113.7</v>
      </c>
      <c r="M22" s="227">
        <v>21316.1</v>
      </c>
      <c r="N22" s="227">
        <v>19987.899999999998</v>
      </c>
      <c r="O22" s="227">
        <v>18735.7</v>
      </c>
      <c r="P22" s="227">
        <v>24226.400000000001</v>
      </c>
      <c r="Q22" s="227">
        <v>23141.4</v>
      </c>
      <c r="R22" s="227">
        <v>27334.9</v>
      </c>
      <c r="S22" s="227">
        <v>24152.799999999999</v>
      </c>
      <c r="T22" s="227">
        <v>23188.5</v>
      </c>
      <c r="U22" s="227">
        <v>20363.600000000002</v>
      </c>
      <c r="V22" s="227">
        <v>19627.3</v>
      </c>
      <c r="W22" s="227">
        <v>19327</v>
      </c>
      <c r="X22" s="227">
        <v>19924</v>
      </c>
      <c r="Y22" s="227">
        <v>20134</v>
      </c>
      <c r="Z22" s="227">
        <v>17174</v>
      </c>
      <c r="AA22" s="227">
        <v>13845</v>
      </c>
      <c r="AB22" s="227">
        <v>15758</v>
      </c>
      <c r="AC22" s="227">
        <v>16675</v>
      </c>
      <c r="AD22" s="227">
        <v>19001</v>
      </c>
      <c r="AE22" s="227">
        <v>20827</v>
      </c>
      <c r="AF22" s="228">
        <v>22222</v>
      </c>
      <c r="AG22" s="227">
        <v>22332</v>
      </c>
      <c r="AH22" s="227">
        <v>23016</v>
      </c>
      <c r="AI22" s="227">
        <v>18996</v>
      </c>
      <c r="AJ22" s="227">
        <v>16597</v>
      </c>
      <c r="AK22" s="227">
        <v>17135</v>
      </c>
      <c r="AL22" s="227">
        <v>14697</v>
      </c>
      <c r="AM22" s="227">
        <v>15598</v>
      </c>
      <c r="AN22" s="227">
        <v>15033</v>
      </c>
      <c r="AO22" s="227">
        <v>14953</v>
      </c>
      <c r="AP22" s="226">
        <v>14118</v>
      </c>
      <c r="AQ22" s="225">
        <v>11376</v>
      </c>
      <c r="AR22" s="225">
        <v>11072.9</v>
      </c>
      <c r="AS22" s="225">
        <v>10310</v>
      </c>
      <c r="AT22" s="225">
        <v>11543</v>
      </c>
      <c r="AU22" s="225">
        <v>11564</v>
      </c>
      <c r="AV22" s="225">
        <v>11994</v>
      </c>
      <c r="AW22" s="225">
        <v>12091</v>
      </c>
      <c r="AX22" s="225">
        <v>11903</v>
      </c>
      <c r="AY22" s="225">
        <v>16306</v>
      </c>
      <c r="AZ22" s="226">
        <v>16211</v>
      </c>
      <c r="BA22" s="225">
        <v>17077</v>
      </c>
      <c r="BB22" s="225">
        <v>17082</v>
      </c>
      <c r="BC22" s="226">
        <v>14570</v>
      </c>
      <c r="BD22" s="226">
        <v>18481</v>
      </c>
      <c r="BE22" s="226">
        <v>17705</v>
      </c>
      <c r="BF22" s="226">
        <v>16973</v>
      </c>
      <c r="BG22" s="225">
        <v>17337</v>
      </c>
      <c r="BH22" s="226">
        <v>14511</v>
      </c>
      <c r="BI22" s="226">
        <v>17841</v>
      </c>
      <c r="BJ22" s="226">
        <v>18036</v>
      </c>
      <c r="BK22" s="226">
        <v>20038</v>
      </c>
      <c r="BL22" s="226">
        <v>21116</v>
      </c>
      <c r="BM22" s="226">
        <v>19113</v>
      </c>
      <c r="BN22" s="226">
        <v>21870</v>
      </c>
      <c r="BO22" s="226">
        <v>19185</v>
      </c>
      <c r="BP22" s="226">
        <v>22646</v>
      </c>
      <c r="BQ22" s="226">
        <v>18248</v>
      </c>
      <c r="BR22" s="226">
        <v>15175</v>
      </c>
      <c r="BS22" s="226">
        <v>14275</v>
      </c>
      <c r="BT22" s="226">
        <v>12951</v>
      </c>
      <c r="BU22" s="226">
        <v>15951</v>
      </c>
      <c r="BV22" s="226">
        <v>16705</v>
      </c>
      <c r="BW22" s="226">
        <v>18309</v>
      </c>
      <c r="BX22" s="226">
        <v>15369</v>
      </c>
      <c r="BY22" s="226">
        <v>19455</v>
      </c>
      <c r="BZ22" s="226">
        <v>17712</v>
      </c>
      <c r="CA22" s="226">
        <v>16189</v>
      </c>
      <c r="CB22" s="226">
        <v>15078</v>
      </c>
      <c r="CC22" s="226">
        <v>13502</v>
      </c>
      <c r="CD22" s="226">
        <v>16784</v>
      </c>
      <c r="CE22" s="226">
        <v>20244</v>
      </c>
      <c r="CF22" s="226">
        <v>31813</v>
      </c>
      <c r="CG22" s="225">
        <v>39142</v>
      </c>
      <c r="CH22" s="226">
        <v>53618</v>
      </c>
      <c r="CI22" s="225">
        <v>60102</v>
      </c>
      <c r="CJ22" s="226">
        <v>63512</v>
      </c>
      <c r="CK22" s="987">
        <v>76776</v>
      </c>
      <c r="CL22" s="226">
        <v>68370</v>
      </c>
      <c r="CM22" s="226">
        <v>69956</v>
      </c>
    </row>
    <row r="23" spans="1:91" ht="15" hidden="1" customHeight="1" x14ac:dyDescent="0.3">
      <c r="A23" s="48" t="s">
        <v>370</v>
      </c>
      <c r="B23" s="227">
        <v>13141</v>
      </c>
      <c r="C23" s="227">
        <v>11959</v>
      </c>
      <c r="D23" s="227">
        <v>19968</v>
      </c>
      <c r="E23" s="227">
        <v>26716</v>
      </c>
      <c r="F23" s="227">
        <v>34861</v>
      </c>
      <c r="G23" s="227">
        <v>42857</v>
      </c>
      <c r="H23" s="227">
        <v>55529</v>
      </c>
      <c r="I23" s="227">
        <v>56152</v>
      </c>
      <c r="J23" s="227">
        <v>51070.3</v>
      </c>
      <c r="K23" s="227">
        <v>42361.9</v>
      </c>
      <c r="L23" s="227">
        <v>32372.9</v>
      </c>
      <c r="M23" s="199"/>
      <c r="N23" s="199"/>
      <c r="O23" s="199"/>
      <c r="P23" s="199"/>
      <c r="Q23" s="199"/>
      <c r="R23" s="199"/>
      <c r="S23" s="199"/>
      <c r="T23" s="199"/>
      <c r="U23" s="199"/>
      <c r="V23" s="243"/>
      <c r="W23" s="199"/>
      <c r="X23" s="199"/>
      <c r="Y23" s="199"/>
      <c r="Z23" s="199"/>
      <c r="AA23" s="199"/>
      <c r="AB23" s="199"/>
      <c r="AC23" s="241"/>
      <c r="AD23" s="241"/>
      <c r="AE23" s="241"/>
      <c r="AF23" s="241"/>
      <c r="AG23" s="242"/>
      <c r="AH23" s="243"/>
      <c r="AI23" s="241"/>
      <c r="AJ23" s="241"/>
      <c r="AK23" s="241"/>
      <c r="AL23" s="241"/>
      <c r="AM23" s="242"/>
      <c r="AN23" s="241"/>
      <c r="AO23" s="241"/>
      <c r="AP23" s="226"/>
      <c r="AQ23" s="225"/>
      <c r="AR23" s="225"/>
      <c r="AS23" s="225"/>
      <c r="AT23" s="225"/>
      <c r="AU23" s="225"/>
      <c r="AV23" s="225"/>
      <c r="AW23" s="225"/>
      <c r="AX23" s="225"/>
      <c r="AY23" s="225"/>
      <c r="AZ23" s="226"/>
      <c r="BA23" s="225"/>
      <c r="BB23" s="225"/>
      <c r="BC23" s="226"/>
      <c r="BD23" s="226"/>
      <c r="BE23" s="226"/>
      <c r="BF23" s="226"/>
      <c r="BG23" s="225"/>
      <c r="BH23" s="226"/>
      <c r="BI23" s="226"/>
      <c r="BJ23" s="226"/>
      <c r="BK23" s="226"/>
      <c r="BL23" s="226"/>
      <c r="BM23" s="226"/>
      <c r="BN23" s="226"/>
      <c r="BO23" s="226"/>
      <c r="BP23" s="226"/>
      <c r="BQ23" s="226"/>
      <c r="BR23" s="226"/>
      <c r="BS23" s="226"/>
      <c r="BT23" s="226"/>
      <c r="BU23" s="226"/>
      <c r="BV23" s="226"/>
      <c r="BW23" s="226"/>
      <c r="BX23" s="226"/>
      <c r="BY23" s="226"/>
      <c r="BZ23" s="226"/>
      <c r="CA23" s="226"/>
      <c r="CB23" s="226"/>
      <c r="CC23" s="226"/>
      <c r="CD23" s="226"/>
      <c r="CE23" s="226"/>
      <c r="CF23" s="226"/>
      <c r="CG23" s="225"/>
      <c r="CH23" s="226"/>
      <c r="CI23" s="225"/>
      <c r="CJ23" s="226"/>
      <c r="CK23" s="987"/>
      <c r="CL23" s="226"/>
      <c r="CM23" s="226"/>
    </row>
    <row r="24" spans="1:91" ht="15.5" hidden="1" x14ac:dyDescent="0.35">
      <c r="A24" s="229" t="s">
        <v>369</v>
      </c>
      <c r="B24" s="227">
        <v>1089</v>
      </c>
      <c r="C24" s="227">
        <v>671</v>
      </c>
      <c r="D24" s="239" t="s">
        <v>368</v>
      </c>
      <c r="E24" s="239" t="s">
        <v>368</v>
      </c>
      <c r="F24" s="239" t="s">
        <v>368</v>
      </c>
      <c r="G24" s="239" t="s">
        <v>368</v>
      </c>
      <c r="H24" s="239" t="s">
        <v>368</v>
      </c>
      <c r="I24" s="239" t="s">
        <v>368</v>
      </c>
      <c r="J24" s="239" t="s">
        <v>368</v>
      </c>
      <c r="K24" s="239" t="s">
        <v>368</v>
      </c>
      <c r="L24" s="239"/>
      <c r="M24" s="239"/>
      <c r="N24" s="239"/>
      <c r="O24" s="227">
        <v>4998.6000000000004</v>
      </c>
      <c r="P24" s="239"/>
      <c r="Q24" s="227">
        <v>269.5</v>
      </c>
      <c r="R24" s="239"/>
      <c r="S24" s="239"/>
      <c r="T24" s="239"/>
      <c r="U24" s="239"/>
      <c r="V24" s="239"/>
      <c r="W24" s="239"/>
      <c r="X24" s="239"/>
      <c r="Y24" s="239"/>
      <c r="Z24" s="239">
        <v>0</v>
      </c>
      <c r="AA24" s="239">
        <v>0</v>
      </c>
      <c r="AB24" s="239">
        <v>0</v>
      </c>
      <c r="AC24" s="239">
        <v>0</v>
      </c>
      <c r="AD24" s="239">
        <v>0</v>
      </c>
      <c r="AE24" s="239">
        <v>0</v>
      </c>
      <c r="AF24" s="240">
        <v>0</v>
      </c>
      <c r="AG24" s="239">
        <v>0</v>
      </c>
      <c r="AH24" s="239">
        <v>0</v>
      </c>
      <c r="AI24" s="239">
        <v>0</v>
      </c>
      <c r="AJ24" s="239">
        <v>0</v>
      </c>
      <c r="AK24" s="239">
        <v>0</v>
      </c>
      <c r="AL24" s="239">
        <v>0</v>
      </c>
      <c r="AM24" s="239">
        <v>0</v>
      </c>
      <c r="AN24" s="239">
        <v>0</v>
      </c>
      <c r="AO24" s="239">
        <v>0</v>
      </c>
      <c r="AP24" s="226">
        <v>0</v>
      </c>
      <c r="AQ24" s="225">
        <v>0</v>
      </c>
      <c r="AR24" s="225">
        <v>0</v>
      </c>
      <c r="AS24" s="225">
        <v>0</v>
      </c>
      <c r="AT24" s="225">
        <v>0</v>
      </c>
      <c r="AU24" s="225">
        <v>0</v>
      </c>
      <c r="AV24" s="225">
        <v>0</v>
      </c>
      <c r="AW24" s="225">
        <v>0</v>
      </c>
      <c r="AX24" s="225">
        <v>0</v>
      </c>
      <c r="AY24" s="225">
        <v>0</v>
      </c>
      <c r="AZ24" s="226">
        <v>0</v>
      </c>
      <c r="BA24" s="225">
        <v>0</v>
      </c>
      <c r="BB24" s="225">
        <v>0</v>
      </c>
      <c r="BC24" s="226">
        <v>0</v>
      </c>
      <c r="BD24" s="219">
        <v>0</v>
      </c>
      <c r="BE24" s="219">
        <v>0</v>
      </c>
      <c r="BF24" s="219">
        <v>0</v>
      </c>
      <c r="BG24" s="220">
        <v>0</v>
      </c>
      <c r="BH24" s="219">
        <v>0</v>
      </c>
      <c r="BI24" s="219">
        <v>0</v>
      </c>
      <c r="BJ24" s="219">
        <v>0</v>
      </c>
      <c r="BK24" s="219">
        <v>0</v>
      </c>
      <c r="BL24" s="219">
        <v>0</v>
      </c>
      <c r="BM24" s="219">
        <v>0</v>
      </c>
      <c r="BN24" s="219">
        <v>0</v>
      </c>
      <c r="BO24" s="219">
        <v>0</v>
      </c>
      <c r="BP24" s="219">
        <v>0</v>
      </c>
      <c r="BQ24" s="219">
        <v>0</v>
      </c>
      <c r="BR24" s="219">
        <v>0</v>
      </c>
      <c r="BS24" s="219">
        <v>0</v>
      </c>
      <c r="BT24" s="219">
        <v>0</v>
      </c>
      <c r="BU24" s="219">
        <v>0</v>
      </c>
      <c r="BV24" s="219">
        <v>0</v>
      </c>
      <c r="BW24" s="219">
        <v>0</v>
      </c>
      <c r="BX24" s="219">
        <v>0</v>
      </c>
      <c r="BY24" s="219">
        <v>0</v>
      </c>
      <c r="BZ24" s="219">
        <v>0</v>
      </c>
      <c r="CA24" s="219">
        <v>0</v>
      </c>
      <c r="CB24" s="219">
        <v>0</v>
      </c>
      <c r="CC24" s="219">
        <v>0</v>
      </c>
      <c r="CD24" s="219">
        <v>0</v>
      </c>
      <c r="CE24" s="219">
        <v>0</v>
      </c>
      <c r="CF24" s="219">
        <v>0</v>
      </c>
      <c r="CG24" s="220">
        <v>0</v>
      </c>
      <c r="CH24" s="219">
        <v>0</v>
      </c>
      <c r="CI24" s="220">
        <v>0</v>
      </c>
      <c r="CJ24" s="219">
        <v>0</v>
      </c>
      <c r="CK24" s="1146">
        <v>0</v>
      </c>
      <c r="CL24" s="219">
        <v>0</v>
      </c>
      <c r="CM24" s="219">
        <v>0</v>
      </c>
    </row>
    <row r="25" spans="1:91" ht="15.5" hidden="1" x14ac:dyDescent="0.35">
      <c r="A25" s="235" t="s">
        <v>367</v>
      </c>
      <c r="B25" s="227"/>
      <c r="C25" s="227"/>
      <c r="D25" s="239"/>
      <c r="E25" s="239"/>
      <c r="F25" s="239"/>
      <c r="G25" s="239"/>
      <c r="H25" s="239"/>
      <c r="I25" s="239"/>
      <c r="J25" s="239"/>
      <c r="K25" s="239"/>
      <c r="L25" s="239"/>
      <c r="M25" s="239"/>
      <c r="N25" s="239"/>
      <c r="O25" s="227"/>
      <c r="P25" s="239"/>
      <c r="Q25" s="227"/>
      <c r="R25" s="239"/>
      <c r="S25" s="239"/>
      <c r="T25" s="239"/>
      <c r="U25" s="239"/>
      <c r="V25" s="239"/>
      <c r="W25" s="239"/>
      <c r="X25" s="239"/>
      <c r="Y25" s="239"/>
      <c r="Z25" s="239">
        <v>0</v>
      </c>
      <c r="AA25" s="239">
        <v>0</v>
      </c>
      <c r="AB25" s="239">
        <v>0</v>
      </c>
      <c r="AC25" s="239">
        <v>0</v>
      </c>
      <c r="AD25" s="239">
        <v>0</v>
      </c>
      <c r="AE25" s="239">
        <v>0</v>
      </c>
      <c r="AF25" s="240">
        <v>0</v>
      </c>
      <c r="AG25" s="239">
        <v>0</v>
      </c>
      <c r="AH25" s="239">
        <v>0</v>
      </c>
      <c r="AI25" s="239">
        <v>0</v>
      </c>
      <c r="AJ25" s="239">
        <v>0</v>
      </c>
      <c r="AK25" s="239">
        <v>0</v>
      </c>
      <c r="AL25" s="239">
        <v>0</v>
      </c>
      <c r="AM25" s="239">
        <v>0</v>
      </c>
      <c r="AN25" s="239">
        <v>0</v>
      </c>
      <c r="AO25" s="239">
        <v>0</v>
      </c>
      <c r="AP25" s="226">
        <v>0</v>
      </c>
      <c r="AQ25" s="225">
        <v>0</v>
      </c>
      <c r="AR25" s="225">
        <v>0</v>
      </c>
      <c r="AS25" s="225">
        <v>0</v>
      </c>
      <c r="AT25" s="225">
        <v>0</v>
      </c>
      <c r="AU25" s="225">
        <v>0</v>
      </c>
      <c r="AV25" s="225">
        <v>0</v>
      </c>
      <c r="AW25" s="225">
        <v>0</v>
      </c>
      <c r="AX25" s="225">
        <v>0</v>
      </c>
      <c r="AY25" s="225">
        <v>0</v>
      </c>
      <c r="AZ25" s="226">
        <v>0</v>
      </c>
      <c r="BA25" s="225">
        <v>0</v>
      </c>
      <c r="BB25" s="225">
        <v>0</v>
      </c>
      <c r="BC25" s="226">
        <v>0</v>
      </c>
      <c r="BD25" s="219">
        <v>0</v>
      </c>
      <c r="BE25" s="219">
        <v>0</v>
      </c>
      <c r="BF25" s="219">
        <v>0</v>
      </c>
      <c r="BG25" s="220">
        <v>0</v>
      </c>
      <c r="BH25" s="219">
        <v>0</v>
      </c>
      <c r="BI25" s="219">
        <v>0</v>
      </c>
      <c r="BJ25" s="219">
        <v>0</v>
      </c>
      <c r="BK25" s="219">
        <v>0</v>
      </c>
      <c r="BL25" s="219">
        <v>0</v>
      </c>
      <c r="BM25" s="219">
        <v>0</v>
      </c>
      <c r="BN25" s="219">
        <v>0</v>
      </c>
      <c r="BO25" s="219">
        <v>0</v>
      </c>
      <c r="BP25" s="219">
        <v>0</v>
      </c>
      <c r="BQ25" s="219">
        <v>0</v>
      </c>
      <c r="BR25" s="219">
        <v>0</v>
      </c>
      <c r="BS25" s="219">
        <v>0</v>
      </c>
      <c r="BT25" s="219">
        <v>0</v>
      </c>
      <c r="BU25" s="219">
        <v>0</v>
      </c>
      <c r="BV25" s="219">
        <v>0</v>
      </c>
      <c r="BW25" s="219">
        <v>0</v>
      </c>
      <c r="BX25" s="219">
        <v>0</v>
      </c>
      <c r="BY25" s="219">
        <v>0</v>
      </c>
      <c r="BZ25" s="219">
        <v>0</v>
      </c>
      <c r="CA25" s="219">
        <v>0</v>
      </c>
      <c r="CB25" s="219">
        <v>0</v>
      </c>
      <c r="CC25" s="219">
        <v>0</v>
      </c>
      <c r="CD25" s="219">
        <v>0</v>
      </c>
      <c r="CE25" s="219">
        <v>0</v>
      </c>
      <c r="CF25" s="219">
        <v>0</v>
      </c>
      <c r="CG25" s="220">
        <v>0</v>
      </c>
      <c r="CH25" s="219">
        <v>0</v>
      </c>
      <c r="CI25" s="220">
        <v>0</v>
      </c>
      <c r="CJ25" s="219">
        <v>0</v>
      </c>
      <c r="CK25" s="1146">
        <v>0</v>
      </c>
      <c r="CL25" s="219">
        <v>0</v>
      </c>
      <c r="CM25" s="219">
        <v>0</v>
      </c>
    </row>
    <row r="26" spans="1:91" ht="18.5" hidden="1" x14ac:dyDescent="0.35">
      <c r="A26" s="235" t="s">
        <v>366</v>
      </c>
      <c r="B26" s="227"/>
      <c r="C26" s="227"/>
      <c r="D26" s="239"/>
      <c r="E26" s="239"/>
      <c r="F26" s="239"/>
      <c r="G26" s="239"/>
      <c r="H26" s="239"/>
      <c r="I26" s="239"/>
      <c r="J26" s="239"/>
      <c r="K26" s="239"/>
      <c r="L26" s="239"/>
      <c r="M26" s="239"/>
      <c r="N26" s="239"/>
      <c r="O26" s="227"/>
      <c r="P26" s="239"/>
      <c r="Q26" s="227"/>
      <c r="R26" s="239"/>
      <c r="S26" s="239"/>
      <c r="T26" s="239"/>
      <c r="U26" s="239"/>
      <c r="V26" s="239"/>
      <c r="W26" s="239"/>
      <c r="X26" s="239"/>
      <c r="Y26" s="239"/>
      <c r="Z26" s="239">
        <v>4425</v>
      </c>
      <c r="AA26" s="227">
        <v>3732</v>
      </c>
      <c r="AB26" s="227">
        <v>2200</v>
      </c>
      <c r="AC26" s="227">
        <v>5420</v>
      </c>
      <c r="AD26" s="227">
        <v>2100</v>
      </c>
      <c r="AE26" s="227">
        <v>3155</v>
      </c>
      <c r="AF26" s="228">
        <v>2300</v>
      </c>
      <c r="AG26" s="227">
        <v>2000</v>
      </c>
      <c r="AH26" s="227">
        <v>4246</v>
      </c>
      <c r="AI26" s="227">
        <v>1000</v>
      </c>
      <c r="AJ26" s="227">
        <v>0</v>
      </c>
      <c r="AK26" s="227">
        <v>0</v>
      </c>
      <c r="AL26" s="227">
        <v>1607</v>
      </c>
      <c r="AM26" s="227">
        <v>0</v>
      </c>
      <c r="AN26" s="227">
        <v>19</v>
      </c>
      <c r="AO26" s="227">
        <v>0</v>
      </c>
      <c r="AP26" s="226">
        <v>1526</v>
      </c>
      <c r="AQ26" s="225">
        <v>36</v>
      </c>
      <c r="AR26" s="225">
        <v>0</v>
      </c>
      <c r="AS26" s="225">
        <v>0</v>
      </c>
      <c r="AT26" s="225">
        <v>0</v>
      </c>
      <c r="AU26" s="225">
        <v>0</v>
      </c>
      <c r="AV26" s="225">
        <v>114</v>
      </c>
      <c r="AW26" s="225">
        <v>0</v>
      </c>
      <c r="AX26" s="225">
        <v>0</v>
      </c>
      <c r="AY26" s="225">
        <v>0</v>
      </c>
      <c r="AZ26" s="226">
        <v>0</v>
      </c>
      <c r="BA26" s="225">
        <v>0</v>
      </c>
      <c r="BB26" s="225">
        <v>0</v>
      </c>
      <c r="BC26" s="226">
        <v>0</v>
      </c>
      <c r="BD26" s="219">
        <v>0</v>
      </c>
      <c r="BE26" s="219">
        <v>0</v>
      </c>
      <c r="BF26" s="219">
        <v>0</v>
      </c>
      <c r="BG26" s="220">
        <v>0</v>
      </c>
      <c r="BH26" s="219">
        <v>0</v>
      </c>
      <c r="BI26" s="219">
        <v>0</v>
      </c>
      <c r="BJ26" s="219">
        <v>0</v>
      </c>
      <c r="BK26" s="219">
        <v>0</v>
      </c>
      <c r="BL26" s="219">
        <v>0</v>
      </c>
      <c r="BM26" s="219">
        <v>0</v>
      </c>
      <c r="BN26" s="219">
        <v>0</v>
      </c>
      <c r="BO26" s="219">
        <v>0</v>
      </c>
      <c r="BP26" s="219">
        <v>0</v>
      </c>
      <c r="BQ26" s="219">
        <v>0</v>
      </c>
      <c r="BR26" s="219">
        <v>0</v>
      </c>
      <c r="BS26" s="219">
        <v>0</v>
      </c>
      <c r="BT26" s="219">
        <v>0</v>
      </c>
      <c r="BU26" s="219">
        <v>0</v>
      </c>
      <c r="BV26" s="219">
        <v>0</v>
      </c>
      <c r="BW26" s="219">
        <v>0</v>
      </c>
      <c r="BX26" s="219">
        <v>0</v>
      </c>
      <c r="BY26" s="219">
        <v>0</v>
      </c>
      <c r="BZ26" s="219">
        <v>0</v>
      </c>
      <c r="CA26" s="219">
        <v>0</v>
      </c>
      <c r="CB26" s="219">
        <v>0</v>
      </c>
      <c r="CC26" s="219">
        <v>0</v>
      </c>
      <c r="CD26" s="219">
        <v>0</v>
      </c>
      <c r="CE26" s="219">
        <v>0</v>
      </c>
      <c r="CF26" s="219">
        <v>0</v>
      </c>
      <c r="CG26" s="220">
        <v>0</v>
      </c>
      <c r="CH26" s="219">
        <v>0</v>
      </c>
      <c r="CI26" s="220">
        <v>0</v>
      </c>
      <c r="CJ26" s="219">
        <v>0</v>
      </c>
      <c r="CK26" s="1146">
        <v>0</v>
      </c>
      <c r="CL26" s="219">
        <v>0</v>
      </c>
      <c r="CM26" s="219">
        <v>0</v>
      </c>
    </row>
    <row r="27" spans="1:91" ht="7.5" customHeight="1" x14ac:dyDescent="0.35">
      <c r="A27" s="238"/>
      <c r="B27" s="218"/>
      <c r="C27" s="218"/>
      <c r="D27" s="218"/>
      <c r="E27" s="218"/>
      <c r="F27" s="216"/>
      <c r="G27" s="216"/>
      <c r="H27" s="216"/>
      <c r="I27" s="217"/>
      <c r="J27" s="216"/>
      <c r="K27" s="216"/>
      <c r="L27" s="216"/>
      <c r="M27" s="216"/>
      <c r="N27" s="216"/>
      <c r="O27" s="216"/>
      <c r="P27" s="216"/>
      <c r="Q27" s="216"/>
      <c r="R27" s="216"/>
      <c r="S27" s="216"/>
      <c r="T27" s="216"/>
      <c r="U27" s="216"/>
      <c r="V27" s="216"/>
      <c r="W27" s="216"/>
      <c r="X27" s="216"/>
      <c r="Y27" s="216"/>
      <c r="Z27" s="216"/>
      <c r="AA27" s="216" t="s">
        <v>365</v>
      </c>
      <c r="AB27" s="216" t="s">
        <v>365</v>
      </c>
      <c r="AC27" s="216" t="s">
        <v>365</v>
      </c>
      <c r="AD27" s="216" t="s">
        <v>365</v>
      </c>
      <c r="AE27" s="216" t="s">
        <v>365</v>
      </c>
      <c r="AF27" s="237" t="s">
        <v>365</v>
      </c>
      <c r="AG27" s="216"/>
      <c r="AH27" s="216"/>
      <c r="AI27" s="216" t="s">
        <v>365</v>
      </c>
      <c r="AJ27" s="216" t="s">
        <v>365</v>
      </c>
      <c r="AK27" s="216" t="s">
        <v>365</v>
      </c>
      <c r="AL27" s="216" t="s">
        <v>365</v>
      </c>
      <c r="AM27" s="216" t="s">
        <v>365</v>
      </c>
      <c r="AN27" s="216" t="s">
        <v>365</v>
      </c>
      <c r="AO27" s="216" t="s">
        <v>365</v>
      </c>
      <c r="AP27" s="54"/>
      <c r="AQ27" s="19"/>
      <c r="AR27" s="19"/>
      <c r="AS27" s="19"/>
      <c r="AT27" s="19"/>
      <c r="AU27" s="19"/>
      <c r="AV27" s="19"/>
      <c r="AW27" s="19"/>
      <c r="AX27" s="19"/>
      <c r="AY27" s="19"/>
      <c r="AZ27" s="54"/>
      <c r="BA27" s="19"/>
      <c r="BB27" s="19"/>
      <c r="BC27" s="54"/>
      <c r="BD27" s="54"/>
      <c r="BE27" s="54"/>
      <c r="BF27" s="54"/>
      <c r="BG27" s="19"/>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19"/>
      <c r="CH27" s="54"/>
      <c r="CI27" s="19"/>
      <c r="CJ27" s="54"/>
      <c r="CK27" s="1119"/>
      <c r="CL27" s="54"/>
      <c r="CM27" s="54"/>
    </row>
    <row r="28" spans="1:91" s="52" customFormat="1" ht="15" x14ac:dyDescent="0.3">
      <c r="A28" s="224" t="s">
        <v>353</v>
      </c>
      <c r="B28" s="211">
        <v>26809.5</v>
      </c>
      <c r="C28" s="211">
        <v>25427.5</v>
      </c>
      <c r="D28" s="211">
        <v>32678</v>
      </c>
      <c r="E28" s="211">
        <v>38899.599999999999</v>
      </c>
      <c r="F28" s="211">
        <v>46668.799999999996</v>
      </c>
      <c r="G28" s="211">
        <v>55031</v>
      </c>
      <c r="H28" s="211">
        <v>67803.3</v>
      </c>
      <c r="I28" s="211">
        <v>70844.2</v>
      </c>
      <c r="J28" s="211">
        <v>67739.8</v>
      </c>
      <c r="K28" s="211">
        <v>67442.2</v>
      </c>
      <c r="L28" s="211">
        <v>70226</v>
      </c>
      <c r="M28" s="211">
        <v>73605</v>
      </c>
      <c r="N28" s="211">
        <v>71372.600000000006</v>
      </c>
      <c r="O28" s="211">
        <v>73415.799999999988</v>
      </c>
      <c r="P28" s="211">
        <v>69329.099999999991</v>
      </c>
      <c r="Q28" s="211">
        <v>65715.099999999991</v>
      </c>
      <c r="R28" s="211">
        <v>68372.599999999991</v>
      </c>
      <c r="S28" s="211">
        <v>72068.100000000006</v>
      </c>
      <c r="T28" s="211">
        <v>73275</v>
      </c>
      <c r="U28" s="211">
        <v>75033.199999999983</v>
      </c>
      <c r="V28" s="211">
        <v>79492</v>
      </c>
      <c r="W28" s="211">
        <v>81659</v>
      </c>
      <c r="X28" s="211">
        <v>80212</v>
      </c>
      <c r="Y28" s="211">
        <v>83142</v>
      </c>
      <c r="Z28" s="211">
        <v>86322</v>
      </c>
      <c r="AA28" s="211">
        <v>86435</v>
      </c>
      <c r="AB28" s="211">
        <v>86230</v>
      </c>
      <c r="AC28" s="211">
        <v>92685</v>
      </c>
      <c r="AD28" s="211">
        <v>94648</v>
      </c>
      <c r="AE28" s="211">
        <v>94239</v>
      </c>
      <c r="AF28" s="212">
        <v>96050</v>
      </c>
      <c r="AG28" s="211">
        <v>98855</v>
      </c>
      <c r="AH28" s="211">
        <v>101152</v>
      </c>
      <c r="AI28" s="211">
        <v>104940</v>
      </c>
      <c r="AJ28" s="211">
        <v>107901</v>
      </c>
      <c r="AK28" s="211">
        <v>111533</v>
      </c>
      <c r="AL28" s="211">
        <v>109714</v>
      </c>
      <c r="AM28" s="211">
        <v>111449</v>
      </c>
      <c r="AN28" s="211">
        <v>114007</v>
      </c>
      <c r="AO28" s="211">
        <v>119228</v>
      </c>
      <c r="AP28" s="211">
        <v>122463</v>
      </c>
      <c r="AQ28" s="211">
        <v>129764.79999999999</v>
      </c>
      <c r="AR28" s="211">
        <v>133993</v>
      </c>
      <c r="AS28" s="211">
        <v>138582</v>
      </c>
      <c r="AT28" s="211">
        <v>137217</v>
      </c>
      <c r="AU28" s="211">
        <v>141990</v>
      </c>
      <c r="AV28" s="211">
        <v>144479</v>
      </c>
      <c r="AW28" s="211">
        <v>150037</v>
      </c>
      <c r="AX28" s="211">
        <v>153296</v>
      </c>
      <c r="AY28" s="211">
        <v>155702</v>
      </c>
      <c r="AZ28" s="211">
        <v>162010</v>
      </c>
      <c r="BA28" s="211">
        <v>164414</v>
      </c>
      <c r="BB28" s="211">
        <v>172201</v>
      </c>
      <c r="BC28" s="211">
        <v>177150</v>
      </c>
      <c r="BD28" s="211">
        <v>178974</v>
      </c>
      <c r="BE28" s="211">
        <v>184990</v>
      </c>
      <c r="BF28" s="211">
        <v>187645</v>
      </c>
      <c r="BG28" s="211">
        <v>193217</v>
      </c>
      <c r="BH28" s="211">
        <v>199033</v>
      </c>
      <c r="BI28" s="211">
        <v>205887</v>
      </c>
      <c r="BJ28" s="211">
        <v>209985</v>
      </c>
      <c r="BK28" s="211">
        <v>216379</v>
      </c>
      <c r="BL28" s="211">
        <v>216794</v>
      </c>
      <c r="BM28" s="211">
        <v>228220</v>
      </c>
      <c r="BN28" s="211">
        <v>230859</v>
      </c>
      <c r="BO28" s="211">
        <v>233348</v>
      </c>
      <c r="BP28" s="211">
        <v>258374</v>
      </c>
      <c r="BQ28" s="211">
        <v>249469</v>
      </c>
      <c r="BR28" s="211">
        <v>249942</v>
      </c>
      <c r="BS28" s="211">
        <v>260366</v>
      </c>
      <c r="BT28" s="211">
        <v>282430</v>
      </c>
      <c r="BU28" s="211">
        <v>288735</v>
      </c>
      <c r="BV28" s="211">
        <v>283446</v>
      </c>
      <c r="BW28" s="211">
        <v>289310</v>
      </c>
      <c r="BX28" s="211">
        <v>299120</v>
      </c>
      <c r="BY28" s="211">
        <v>305895</v>
      </c>
      <c r="BZ28" s="211">
        <v>305586</v>
      </c>
      <c r="CA28" s="211">
        <v>313950</v>
      </c>
      <c r="CB28" s="211">
        <v>325162</v>
      </c>
      <c r="CC28" s="211">
        <v>334627</v>
      </c>
      <c r="CD28" s="211">
        <v>340170</v>
      </c>
      <c r="CE28" s="211">
        <v>346097</v>
      </c>
      <c r="CF28" s="211">
        <v>346540</v>
      </c>
      <c r="CG28" s="211">
        <v>356705</v>
      </c>
      <c r="CH28" s="211">
        <v>362575</v>
      </c>
      <c r="CI28" s="211">
        <v>370187</v>
      </c>
      <c r="CJ28" s="211">
        <v>376406</v>
      </c>
      <c r="CK28" s="988">
        <v>390239</v>
      </c>
      <c r="CL28" s="211">
        <v>404184</v>
      </c>
      <c r="CM28" s="211">
        <v>416178</v>
      </c>
    </row>
    <row r="29" spans="1:91" ht="18.5" x14ac:dyDescent="0.3">
      <c r="A29" s="222" t="s">
        <v>364</v>
      </c>
      <c r="B29" s="227">
        <v>16048.7</v>
      </c>
      <c r="C29" s="227">
        <v>14866.7</v>
      </c>
      <c r="D29" s="227">
        <v>20892.7</v>
      </c>
      <c r="E29" s="227">
        <v>27114</v>
      </c>
      <c r="F29" s="227">
        <v>35258.5</v>
      </c>
      <c r="G29" s="227">
        <v>43620</v>
      </c>
      <c r="H29" s="227">
        <v>56490.8</v>
      </c>
      <c r="I29" s="227">
        <v>58114</v>
      </c>
      <c r="J29" s="227">
        <v>54032.3</v>
      </c>
      <c r="K29" s="227">
        <v>52857.9</v>
      </c>
      <c r="L29" s="227">
        <v>54556.9</v>
      </c>
      <c r="M29" s="227">
        <v>55735.9</v>
      </c>
      <c r="N29" s="227">
        <v>53666.6</v>
      </c>
      <c r="O29" s="227">
        <v>54105</v>
      </c>
      <c r="P29" s="227">
        <v>49805.899999999994</v>
      </c>
      <c r="Q29" s="227">
        <v>46591.799999999996</v>
      </c>
      <c r="R29" s="227">
        <v>49249.3</v>
      </c>
      <c r="S29" s="227">
        <v>51294.8</v>
      </c>
      <c r="T29" s="227">
        <v>52501.7</v>
      </c>
      <c r="U29" s="227">
        <v>53259.899999999994</v>
      </c>
      <c r="V29" s="227">
        <v>56718.700000000004</v>
      </c>
      <c r="W29" s="227">
        <v>59392</v>
      </c>
      <c r="X29" s="227">
        <v>57321</v>
      </c>
      <c r="Y29" s="227">
        <v>59251</v>
      </c>
      <c r="Z29" s="227">
        <v>61431</v>
      </c>
      <c r="AA29" s="227">
        <v>61544</v>
      </c>
      <c r="AB29" s="227">
        <v>62010</v>
      </c>
      <c r="AC29" s="227">
        <v>63572</v>
      </c>
      <c r="AD29" s="227">
        <v>65017</v>
      </c>
      <c r="AE29" s="227">
        <v>64451</v>
      </c>
      <c r="AF29" s="228">
        <v>64713</v>
      </c>
      <c r="AG29" s="227">
        <v>66235</v>
      </c>
      <c r="AH29" s="227">
        <v>66587</v>
      </c>
      <c r="AI29" s="227">
        <v>69801</v>
      </c>
      <c r="AJ29" s="227">
        <v>71311</v>
      </c>
      <c r="AK29" s="227">
        <v>72516</v>
      </c>
      <c r="AL29" s="227">
        <v>69822</v>
      </c>
      <c r="AM29" s="227">
        <v>70162</v>
      </c>
      <c r="AN29" s="227">
        <v>71720</v>
      </c>
      <c r="AO29" s="227">
        <v>73575</v>
      </c>
      <c r="AP29" s="226">
        <v>76401</v>
      </c>
      <c r="AQ29" s="225">
        <v>80903.5</v>
      </c>
      <c r="AR29" s="225">
        <v>84914</v>
      </c>
      <c r="AS29" s="225">
        <v>86781</v>
      </c>
      <c r="AT29" s="225">
        <v>83910</v>
      </c>
      <c r="AU29" s="225">
        <v>87175</v>
      </c>
      <c r="AV29" s="225">
        <v>84852</v>
      </c>
      <c r="AW29" s="225">
        <v>87593</v>
      </c>
      <c r="AX29" s="225">
        <v>90080</v>
      </c>
      <c r="AY29" s="225">
        <v>90179</v>
      </c>
      <c r="AZ29" s="233">
        <v>92399</v>
      </c>
      <c r="BA29" s="234">
        <v>91032</v>
      </c>
      <c r="BB29" s="234">
        <v>98122</v>
      </c>
      <c r="BC29" s="233">
        <v>99202</v>
      </c>
      <c r="BD29" s="233">
        <v>100463</v>
      </c>
      <c r="BE29" s="233">
        <v>103143</v>
      </c>
      <c r="BF29" s="233">
        <v>104074</v>
      </c>
      <c r="BG29" s="234">
        <v>106249</v>
      </c>
      <c r="BH29" s="233">
        <v>109739</v>
      </c>
      <c r="BI29" s="233">
        <v>112592</v>
      </c>
      <c r="BJ29" s="233">
        <v>113791</v>
      </c>
      <c r="BK29" s="233">
        <v>118690</v>
      </c>
      <c r="BL29" s="233">
        <v>117005</v>
      </c>
      <c r="BM29" s="233">
        <v>121167</v>
      </c>
      <c r="BN29" s="233">
        <v>120971</v>
      </c>
      <c r="BO29" s="233">
        <v>120234</v>
      </c>
      <c r="BP29" s="233">
        <v>143600</v>
      </c>
      <c r="BQ29" s="233">
        <v>138599</v>
      </c>
      <c r="BR29" s="233">
        <v>137095</v>
      </c>
      <c r="BS29" s="233">
        <v>142015</v>
      </c>
      <c r="BT29" s="233">
        <v>154652</v>
      </c>
      <c r="BU29" s="233">
        <v>159412</v>
      </c>
      <c r="BV29" s="233">
        <v>152526</v>
      </c>
      <c r="BW29" s="233">
        <v>153925</v>
      </c>
      <c r="BX29" s="233">
        <v>158381</v>
      </c>
      <c r="BY29" s="233">
        <v>161728</v>
      </c>
      <c r="BZ29" s="233">
        <v>153101</v>
      </c>
      <c r="CA29" s="233">
        <v>155896</v>
      </c>
      <c r="CB29" s="233">
        <v>156801</v>
      </c>
      <c r="CC29" s="233">
        <v>164095</v>
      </c>
      <c r="CD29" s="233">
        <v>166311</v>
      </c>
      <c r="CE29" s="233">
        <v>167205</v>
      </c>
      <c r="CF29" s="233">
        <v>162514</v>
      </c>
      <c r="CG29" s="234">
        <v>162100</v>
      </c>
      <c r="CH29" s="233">
        <v>160362</v>
      </c>
      <c r="CI29" s="234">
        <v>159502</v>
      </c>
      <c r="CJ29" s="233">
        <v>152671</v>
      </c>
      <c r="CK29" s="1147">
        <v>165787</v>
      </c>
      <c r="CL29" s="233">
        <v>168126</v>
      </c>
      <c r="CM29" s="233">
        <v>165294</v>
      </c>
    </row>
    <row r="30" spans="1:91" ht="15.5" x14ac:dyDescent="0.3">
      <c r="A30" s="236" t="s">
        <v>363</v>
      </c>
      <c r="B30" s="227">
        <v>4308.7</v>
      </c>
      <c r="C30" s="227">
        <v>4108.7</v>
      </c>
      <c r="D30" s="227">
        <v>4106.7</v>
      </c>
      <c r="E30" s="227">
        <v>4107</v>
      </c>
      <c r="F30" s="227">
        <v>3606.7</v>
      </c>
      <c r="G30" s="227">
        <v>3607</v>
      </c>
      <c r="H30" s="227">
        <v>3911.6</v>
      </c>
      <c r="I30" s="227">
        <v>4336</v>
      </c>
      <c r="J30" s="227">
        <v>4526.8999999999996</v>
      </c>
      <c r="K30" s="227">
        <v>4300.2</v>
      </c>
      <c r="L30" s="227">
        <v>4496.0999999999995</v>
      </c>
      <c r="M30" s="227">
        <v>5439.5999999999995</v>
      </c>
      <c r="N30" s="227">
        <v>5500.9</v>
      </c>
      <c r="O30" s="227">
        <v>6202.5</v>
      </c>
      <c r="P30" s="227">
        <v>6157</v>
      </c>
      <c r="Q30" s="227">
        <v>6169.1</v>
      </c>
      <c r="R30" s="227">
        <v>6169.1</v>
      </c>
      <c r="S30" s="227">
        <v>7083.7000000000007</v>
      </c>
      <c r="T30" s="227">
        <v>7083.7000000000007</v>
      </c>
      <c r="U30" s="227">
        <v>7372.9000000000005</v>
      </c>
      <c r="V30" s="227">
        <v>7572.2000000000007</v>
      </c>
      <c r="W30" s="227">
        <v>6764</v>
      </c>
      <c r="X30" s="227">
        <v>7171</v>
      </c>
      <c r="Y30" s="227">
        <v>7517</v>
      </c>
      <c r="Z30" s="227">
        <v>7955</v>
      </c>
      <c r="AA30" s="227">
        <v>7340</v>
      </c>
      <c r="AB30" s="227">
        <v>7585</v>
      </c>
      <c r="AC30" s="227">
        <v>9585</v>
      </c>
      <c r="AD30" s="227">
        <v>9483</v>
      </c>
      <c r="AE30" s="227">
        <v>9781</v>
      </c>
      <c r="AF30" s="228">
        <v>9721</v>
      </c>
      <c r="AG30" s="227">
        <v>11065</v>
      </c>
      <c r="AH30" s="227">
        <v>12003</v>
      </c>
      <c r="AI30" s="227">
        <v>11807</v>
      </c>
      <c r="AJ30" s="227">
        <v>13258</v>
      </c>
      <c r="AK30" s="227">
        <v>13993</v>
      </c>
      <c r="AL30" s="227">
        <v>14569</v>
      </c>
      <c r="AM30" s="227">
        <v>14569</v>
      </c>
      <c r="AN30" s="227">
        <v>14569</v>
      </c>
      <c r="AO30" s="227">
        <v>16771</v>
      </c>
      <c r="AP30" s="226">
        <v>17180</v>
      </c>
      <c r="AQ30" s="225">
        <v>18580.5</v>
      </c>
      <c r="AR30" s="225">
        <v>19194</v>
      </c>
      <c r="AS30" s="225">
        <v>20916</v>
      </c>
      <c r="AT30" s="225">
        <v>20916</v>
      </c>
      <c r="AU30" s="225">
        <v>21401</v>
      </c>
      <c r="AV30" s="225">
        <v>23901</v>
      </c>
      <c r="AW30" s="225">
        <v>25218</v>
      </c>
      <c r="AX30" s="225">
        <v>25013</v>
      </c>
      <c r="AY30" s="225">
        <v>26513</v>
      </c>
      <c r="AZ30" s="233">
        <v>27606</v>
      </c>
      <c r="BA30" s="234">
        <v>28660</v>
      </c>
      <c r="BB30" s="234">
        <v>29622</v>
      </c>
      <c r="BC30" s="233">
        <v>31621</v>
      </c>
      <c r="BD30" s="233">
        <v>31585</v>
      </c>
      <c r="BE30" s="233">
        <v>33421</v>
      </c>
      <c r="BF30" s="233">
        <v>35151</v>
      </c>
      <c r="BG30" s="234">
        <v>37048</v>
      </c>
      <c r="BH30" s="233">
        <v>37044</v>
      </c>
      <c r="BI30" s="233">
        <v>39044</v>
      </c>
      <c r="BJ30" s="233">
        <v>41043</v>
      </c>
      <c r="BK30" s="233">
        <v>41041</v>
      </c>
      <c r="BL30" s="233">
        <v>42544</v>
      </c>
      <c r="BM30" s="233">
        <v>44041</v>
      </c>
      <c r="BN30" s="233">
        <v>44040</v>
      </c>
      <c r="BO30" s="233">
        <v>46038</v>
      </c>
      <c r="BP30" s="233">
        <v>46017</v>
      </c>
      <c r="BQ30" s="233">
        <v>42457</v>
      </c>
      <c r="BR30" s="233">
        <v>44457</v>
      </c>
      <c r="BS30" s="233">
        <v>46457</v>
      </c>
      <c r="BT30" s="233">
        <v>48958</v>
      </c>
      <c r="BU30" s="233">
        <v>46328</v>
      </c>
      <c r="BV30" s="233">
        <v>48329</v>
      </c>
      <c r="BW30" s="233">
        <v>48329</v>
      </c>
      <c r="BX30" s="233">
        <v>49384</v>
      </c>
      <c r="BY30" s="233">
        <v>50688</v>
      </c>
      <c r="BZ30" s="233">
        <v>57039</v>
      </c>
      <c r="CA30" s="233">
        <v>57040</v>
      </c>
      <c r="CB30" s="233">
        <v>64319</v>
      </c>
      <c r="CC30" s="233">
        <v>64224</v>
      </c>
      <c r="CD30" s="233">
        <v>65299</v>
      </c>
      <c r="CE30" s="233">
        <v>68091</v>
      </c>
      <c r="CF30" s="233">
        <v>70276</v>
      </c>
      <c r="CG30" s="234">
        <v>76296</v>
      </c>
      <c r="CH30" s="233">
        <v>78793</v>
      </c>
      <c r="CI30" s="234">
        <v>84580</v>
      </c>
      <c r="CJ30" s="233">
        <v>92783</v>
      </c>
      <c r="CK30" s="1147">
        <v>94383</v>
      </c>
      <c r="CL30" s="233">
        <v>100679</v>
      </c>
      <c r="CM30" s="233">
        <v>108855</v>
      </c>
    </row>
    <row r="31" spans="1:91" ht="15.5" x14ac:dyDescent="0.35">
      <c r="A31" s="235" t="s">
        <v>362</v>
      </c>
      <c r="B31" s="227">
        <v>2584.1</v>
      </c>
      <c r="C31" s="227">
        <v>2584.1</v>
      </c>
      <c r="D31" s="227">
        <v>3890.6</v>
      </c>
      <c r="E31" s="227">
        <v>3890.6</v>
      </c>
      <c r="F31" s="227">
        <v>3490.6</v>
      </c>
      <c r="G31" s="227">
        <v>3491</v>
      </c>
      <c r="H31" s="227">
        <v>4007.9</v>
      </c>
      <c r="I31" s="227">
        <v>5001.2</v>
      </c>
      <c r="J31" s="227">
        <v>5992.6</v>
      </c>
      <c r="K31" s="227">
        <v>7096.1</v>
      </c>
      <c r="L31" s="227">
        <v>8200</v>
      </c>
      <c r="M31" s="227">
        <v>8748</v>
      </c>
      <c r="N31" s="227">
        <v>8948.1</v>
      </c>
      <c r="O31" s="227">
        <v>9395.4</v>
      </c>
      <c r="P31" s="227">
        <v>9675.2999999999993</v>
      </c>
      <c r="Q31" s="227">
        <v>9072.2999999999993</v>
      </c>
      <c r="R31" s="227">
        <v>9072.2999999999993</v>
      </c>
      <c r="S31" s="227">
        <v>9510.5</v>
      </c>
      <c r="T31" s="227">
        <v>9510.5</v>
      </c>
      <c r="U31" s="227">
        <v>9810</v>
      </c>
      <c r="V31" s="227">
        <v>10201.700000000001</v>
      </c>
      <c r="W31" s="227">
        <v>11395</v>
      </c>
      <c r="X31" s="227">
        <v>11555</v>
      </c>
      <c r="Y31" s="227">
        <v>11895</v>
      </c>
      <c r="Z31" s="227">
        <v>12192</v>
      </c>
      <c r="AA31" s="227">
        <v>7506</v>
      </c>
      <c r="AB31" s="227">
        <v>6890</v>
      </c>
      <c r="AC31" s="227">
        <v>15084</v>
      </c>
      <c r="AD31" s="227">
        <v>15705</v>
      </c>
      <c r="AE31" s="227">
        <v>15705</v>
      </c>
      <c r="AF31" s="228">
        <v>17313</v>
      </c>
      <c r="AG31" s="227">
        <v>17253</v>
      </c>
      <c r="AH31" s="227">
        <v>18253</v>
      </c>
      <c r="AI31" s="227">
        <v>19326</v>
      </c>
      <c r="AJ31" s="227">
        <v>19326</v>
      </c>
      <c r="AK31" s="227">
        <v>21019</v>
      </c>
      <c r="AL31" s="227">
        <v>21815</v>
      </c>
      <c r="AM31" s="227">
        <v>23210</v>
      </c>
      <c r="AN31" s="227">
        <v>24210</v>
      </c>
      <c r="AO31" s="227">
        <v>25418</v>
      </c>
      <c r="AP31" s="226">
        <v>25418</v>
      </c>
      <c r="AQ31" s="225">
        <v>26813.9</v>
      </c>
      <c r="AR31" s="225">
        <v>26665</v>
      </c>
      <c r="AS31" s="225">
        <v>27665</v>
      </c>
      <c r="AT31" s="225">
        <v>29171</v>
      </c>
      <c r="AU31" s="225">
        <v>30194</v>
      </c>
      <c r="AV31" s="225">
        <v>32506</v>
      </c>
      <c r="AW31" s="225">
        <v>34006</v>
      </c>
      <c r="AX31" s="225">
        <v>34983</v>
      </c>
      <c r="AY31" s="225">
        <v>34290</v>
      </c>
      <c r="AZ31" s="233">
        <v>35785</v>
      </c>
      <c r="BA31" s="234">
        <v>37002</v>
      </c>
      <c r="BB31" s="234">
        <v>36737</v>
      </c>
      <c r="BC31" s="233">
        <v>36738</v>
      </c>
      <c r="BD31" s="233">
        <v>37337</v>
      </c>
      <c r="BE31" s="233">
        <v>37337</v>
      </c>
      <c r="BF31" s="233">
        <v>37337</v>
      </c>
      <c r="BG31" s="234">
        <v>38837</v>
      </c>
      <c r="BH31" s="233">
        <v>39666</v>
      </c>
      <c r="BI31" s="233">
        <v>39368</v>
      </c>
      <c r="BJ31" s="233">
        <v>40262</v>
      </c>
      <c r="BK31" s="233">
        <v>39859</v>
      </c>
      <c r="BL31" s="233">
        <v>40456</v>
      </c>
      <c r="BM31" s="233">
        <v>41784</v>
      </c>
      <c r="BN31" s="233">
        <v>40903</v>
      </c>
      <c r="BO31" s="233">
        <v>41890</v>
      </c>
      <c r="BP31" s="233">
        <v>41609</v>
      </c>
      <c r="BQ31" s="233">
        <v>41278</v>
      </c>
      <c r="BR31" s="233">
        <v>41278</v>
      </c>
      <c r="BS31" s="233">
        <v>42834</v>
      </c>
      <c r="BT31" s="233">
        <v>46983</v>
      </c>
      <c r="BU31" s="233">
        <v>48684</v>
      </c>
      <c r="BV31" s="233">
        <v>48293</v>
      </c>
      <c r="BW31" s="233">
        <v>50792</v>
      </c>
      <c r="BX31" s="233">
        <v>52633</v>
      </c>
      <c r="BY31" s="233">
        <v>52292</v>
      </c>
      <c r="BZ31" s="233">
        <v>54296</v>
      </c>
      <c r="CA31" s="233">
        <v>56796</v>
      </c>
      <c r="CB31" s="233">
        <v>56796</v>
      </c>
      <c r="CC31" s="233">
        <v>59096</v>
      </c>
      <c r="CD31" s="233">
        <v>59101</v>
      </c>
      <c r="CE31" s="233">
        <v>61398</v>
      </c>
      <c r="CF31" s="233">
        <v>61393</v>
      </c>
      <c r="CG31" s="234">
        <v>65986</v>
      </c>
      <c r="CH31" s="233">
        <v>68082</v>
      </c>
      <c r="CI31" s="234">
        <v>68092</v>
      </c>
      <c r="CJ31" s="233">
        <v>70793</v>
      </c>
      <c r="CK31" s="1147">
        <v>69966</v>
      </c>
      <c r="CL31" s="233">
        <v>72345</v>
      </c>
      <c r="CM31" s="233">
        <v>75644</v>
      </c>
    </row>
    <row r="32" spans="1:91" ht="15.65" customHeight="1" x14ac:dyDescent="0.35">
      <c r="A32" s="235" t="s">
        <v>361</v>
      </c>
      <c r="B32" s="227">
        <v>3868</v>
      </c>
      <c r="C32" s="227">
        <v>3868</v>
      </c>
      <c r="D32" s="227">
        <v>3788</v>
      </c>
      <c r="E32" s="227">
        <v>3788</v>
      </c>
      <c r="F32" s="227">
        <v>4313</v>
      </c>
      <c r="G32" s="227">
        <v>4313</v>
      </c>
      <c r="H32" s="227">
        <v>3393</v>
      </c>
      <c r="I32" s="227">
        <v>3393</v>
      </c>
      <c r="J32" s="227">
        <v>3188</v>
      </c>
      <c r="K32" s="227">
        <v>3188</v>
      </c>
      <c r="L32" s="227">
        <v>2973</v>
      </c>
      <c r="M32" s="227">
        <v>3681.5</v>
      </c>
      <c r="N32" s="227">
        <v>3257</v>
      </c>
      <c r="O32" s="227">
        <v>3712.9</v>
      </c>
      <c r="P32" s="227">
        <v>3690.9</v>
      </c>
      <c r="Q32" s="227">
        <v>3881.9</v>
      </c>
      <c r="R32" s="227">
        <v>3881.9</v>
      </c>
      <c r="S32" s="227">
        <v>4179.1000000000004</v>
      </c>
      <c r="T32" s="227">
        <v>4179.1000000000004</v>
      </c>
      <c r="U32" s="227">
        <v>4590.4000000000005</v>
      </c>
      <c r="V32" s="227">
        <v>4999.4000000000005</v>
      </c>
      <c r="W32" s="227">
        <v>4108</v>
      </c>
      <c r="X32" s="227">
        <v>4165</v>
      </c>
      <c r="Y32" s="227">
        <v>4479</v>
      </c>
      <c r="Z32" s="227">
        <v>4744</v>
      </c>
      <c r="AA32" s="227">
        <v>10045</v>
      </c>
      <c r="AB32" s="227">
        <v>9745</v>
      </c>
      <c r="AC32" s="227">
        <v>4444</v>
      </c>
      <c r="AD32" s="227">
        <v>4444</v>
      </c>
      <c r="AE32" s="227">
        <v>4302</v>
      </c>
      <c r="AF32" s="228">
        <v>4302</v>
      </c>
      <c r="AG32" s="227">
        <v>4302</v>
      </c>
      <c r="AH32" s="227">
        <v>4308</v>
      </c>
      <c r="AI32" s="227">
        <v>4005</v>
      </c>
      <c r="AJ32" s="227">
        <v>4005</v>
      </c>
      <c r="AK32" s="227">
        <v>4005</v>
      </c>
      <c r="AL32" s="227">
        <v>3508</v>
      </c>
      <c r="AM32" s="227">
        <v>3508</v>
      </c>
      <c r="AN32" s="227">
        <v>3508</v>
      </c>
      <c r="AO32" s="227">
        <v>3464</v>
      </c>
      <c r="AP32" s="226">
        <v>3464</v>
      </c>
      <c r="AQ32" s="225">
        <v>3466.9</v>
      </c>
      <c r="AR32" s="225">
        <v>3220</v>
      </c>
      <c r="AS32" s="225">
        <v>3220</v>
      </c>
      <c r="AT32" s="225">
        <v>3220</v>
      </c>
      <c r="AU32" s="225">
        <v>3220</v>
      </c>
      <c r="AV32" s="225">
        <v>3220</v>
      </c>
      <c r="AW32" s="225">
        <v>3220</v>
      </c>
      <c r="AX32" s="225">
        <v>3220</v>
      </c>
      <c r="AY32" s="225">
        <v>4720</v>
      </c>
      <c r="AZ32" s="233">
        <v>6220</v>
      </c>
      <c r="BA32" s="234">
        <v>7720</v>
      </c>
      <c r="BB32" s="234">
        <v>7720</v>
      </c>
      <c r="BC32" s="233">
        <v>9589</v>
      </c>
      <c r="BD32" s="233">
        <v>9589</v>
      </c>
      <c r="BE32" s="233">
        <v>11089</v>
      </c>
      <c r="BF32" s="233">
        <v>11083</v>
      </c>
      <c r="BG32" s="234">
        <v>11083</v>
      </c>
      <c r="BH32" s="233">
        <v>12584</v>
      </c>
      <c r="BI32" s="233">
        <v>14883</v>
      </c>
      <c r="BJ32" s="233">
        <v>14889</v>
      </c>
      <c r="BK32" s="233">
        <v>16789</v>
      </c>
      <c r="BL32" s="233">
        <v>16789</v>
      </c>
      <c r="BM32" s="233">
        <v>21228</v>
      </c>
      <c r="BN32" s="233">
        <v>24945</v>
      </c>
      <c r="BO32" s="233">
        <v>25186</v>
      </c>
      <c r="BP32" s="233">
        <v>27148</v>
      </c>
      <c r="BQ32" s="233">
        <v>27135</v>
      </c>
      <c r="BR32" s="233">
        <v>27112</v>
      </c>
      <c r="BS32" s="233">
        <v>29060</v>
      </c>
      <c r="BT32" s="233">
        <v>31837</v>
      </c>
      <c r="BU32" s="233">
        <v>34311</v>
      </c>
      <c r="BV32" s="233">
        <v>34298</v>
      </c>
      <c r="BW32" s="233">
        <v>36264</v>
      </c>
      <c r="BX32" s="233">
        <v>38722</v>
      </c>
      <c r="BY32" s="233">
        <v>41187</v>
      </c>
      <c r="BZ32" s="233">
        <v>41150</v>
      </c>
      <c r="CA32" s="233">
        <v>44218</v>
      </c>
      <c r="CB32" s="233">
        <v>47246</v>
      </c>
      <c r="CC32" s="233">
        <v>47212</v>
      </c>
      <c r="CD32" s="233">
        <v>49459</v>
      </c>
      <c r="CE32" s="233">
        <v>49403</v>
      </c>
      <c r="CF32" s="233">
        <v>52357</v>
      </c>
      <c r="CG32" s="234">
        <v>52323</v>
      </c>
      <c r="CH32" s="233">
        <v>55338</v>
      </c>
      <c r="CI32" s="234">
        <v>58013</v>
      </c>
      <c r="CJ32" s="233">
        <v>60159</v>
      </c>
      <c r="CK32" s="1147">
        <v>60103</v>
      </c>
      <c r="CL32" s="233">
        <v>63034</v>
      </c>
      <c r="CM32" s="233">
        <v>66385</v>
      </c>
    </row>
    <row r="33" spans="1:91" ht="15.5" hidden="1" x14ac:dyDescent="0.35">
      <c r="A33" s="229"/>
      <c r="B33" s="227"/>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8"/>
      <c r="AG33" s="227"/>
      <c r="AH33" s="227"/>
      <c r="AI33" s="227"/>
      <c r="AJ33" s="227"/>
      <c r="AK33" s="227"/>
      <c r="AL33" s="227"/>
      <c r="AM33" s="227"/>
      <c r="AN33" s="227"/>
      <c r="AO33" s="227"/>
      <c r="AP33" s="226"/>
      <c r="AQ33" s="225"/>
      <c r="AR33" s="225"/>
      <c r="AS33" s="225"/>
      <c r="AT33" s="225"/>
      <c r="AU33" s="225"/>
      <c r="AV33" s="225"/>
      <c r="AW33" s="225"/>
      <c r="AX33" s="225"/>
      <c r="AY33" s="225"/>
      <c r="AZ33" s="226"/>
      <c r="BA33" s="225"/>
      <c r="BB33" s="225"/>
      <c r="BC33" s="226"/>
      <c r="BD33" s="226"/>
      <c r="BE33" s="226"/>
      <c r="BF33" s="226"/>
      <c r="BG33" s="225"/>
      <c r="BH33" s="226"/>
      <c r="BI33" s="226"/>
      <c r="BJ33" s="226"/>
      <c r="BK33" s="226"/>
      <c r="BL33" s="226"/>
      <c r="BM33" s="226"/>
      <c r="BN33" s="226"/>
      <c r="BO33" s="226"/>
      <c r="BP33" s="226"/>
      <c r="BQ33" s="226"/>
      <c r="BR33" s="226"/>
      <c r="BS33" s="226"/>
      <c r="BT33" s="226"/>
      <c r="BU33" s="226"/>
      <c r="BV33" s="226"/>
      <c r="BW33" s="226"/>
      <c r="BX33" s="226"/>
      <c r="BY33" s="226"/>
      <c r="BZ33" s="226"/>
      <c r="CA33" s="226"/>
      <c r="CB33" s="226"/>
      <c r="CC33" s="226"/>
      <c r="CD33" s="226"/>
      <c r="CE33" s="226"/>
      <c r="CF33" s="226"/>
      <c r="CG33" s="225"/>
      <c r="CH33" s="226"/>
      <c r="CI33" s="225"/>
      <c r="CJ33" s="226"/>
      <c r="CK33" s="987"/>
      <c r="CL33" s="226"/>
      <c r="CM33" s="226"/>
    </row>
    <row r="34" spans="1:91" ht="29.25" hidden="1" customHeight="1" x14ac:dyDescent="0.3">
      <c r="A34" s="232" t="s">
        <v>360</v>
      </c>
      <c r="B34" s="227"/>
      <c r="C34" s="227"/>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8"/>
      <c r="AG34" s="227"/>
      <c r="AH34" s="227"/>
      <c r="AI34" s="227"/>
      <c r="AJ34" s="227"/>
      <c r="AK34" s="211">
        <v>0</v>
      </c>
      <c r="AL34" s="211">
        <v>0</v>
      </c>
      <c r="AM34" s="211">
        <v>0</v>
      </c>
      <c r="AN34" s="211">
        <v>0</v>
      </c>
      <c r="AO34" s="231">
        <v>0</v>
      </c>
      <c r="AP34" s="231">
        <v>0</v>
      </c>
      <c r="AQ34" s="231">
        <v>0</v>
      </c>
      <c r="AR34" s="231">
        <v>0</v>
      </c>
      <c r="AS34" s="231">
        <v>3502</v>
      </c>
      <c r="AT34" s="231">
        <v>5422</v>
      </c>
      <c r="AU34" s="231">
        <v>4678</v>
      </c>
      <c r="AV34" s="231">
        <v>3577</v>
      </c>
      <c r="AW34" s="231">
        <v>3243</v>
      </c>
      <c r="AX34" s="231">
        <v>5967</v>
      </c>
      <c r="AY34" s="231">
        <v>10408</v>
      </c>
      <c r="AZ34" s="231">
        <v>12806</v>
      </c>
      <c r="BA34" s="231">
        <v>14797</v>
      </c>
      <c r="BB34" s="231">
        <v>10172</v>
      </c>
      <c r="BC34" s="231">
        <v>15947</v>
      </c>
      <c r="BD34" s="231">
        <v>14436</v>
      </c>
      <c r="BE34" s="231">
        <v>6366</v>
      </c>
      <c r="BF34" s="231">
        <v>3727</v>
      </c>
      <c r="BG34" s="231">
        <v>1021</v>
      </c>
      <c r="BH34" s="231">
        <v>894</v>
      </c>
      <c r="BI34" s="231">
        <v>894</v>
      </c>
      <c r="BJ34" s="231">
        <v>894</v>
      </c>
      <c r="BK34" s="231">
        <v>893</v>
      </c>
      <c r="BL34" s="231">
        <v>893</v>
      </c>
      <c r="BM34" s="231">
        <v>269</v>
      </c>
      <c r="BN34" s="231">
        <v>114</v>
      </c>
      <c r="BO34" s="231">
        <v>0</v>
      </c>
      <c r="BP34" s="231">
        <v>0</v>
      </c>
      <c r="BQ34" s="231">
        <v>0</v>
      </c>
      <c r="BR34" s="231">
        <v>0</v>
      </c>
      <c r="BS34" s="231">
        <v>0</v>
      </c>
      <c r="BT34" s="231">
        <v>0</v>
      </c>
      <c r="BU34" s="231">
        <v>0</v>
      </c>
      <c r="BV34" s="231">
        <v>0</v>
      </c>
      <c r="BW34" s="231">
        <v>0</v>
      </c>
      <c r="BX34" s="231">
        <v>0</v>
      </c>
      <c r="BY34" s="231">
        <v>0</v>
      </c>
      <c r="BZ34" s="231">
        <v>0</v>
      </c>
      <c r="CA34" s="231">
        <v>0</v>
      </c>
      <c r="CB34" s="231">
        <v>0</v>
      </c>
      <c r="CC34" s="231">
        <v>0</v>
      </c>
      <c r="CD34" s="231">
        <v>0</v>
      </c>
      <c r="CE34" s="231">
        <v>0</v>
      </c>
      <c r="CF34" s="231">
        <v>0</v>
      </c>
      <c r="CG34" s="231">
        <v>0</v>
      </c>
      <c r="CH34" s="231">
        <v>0</v>
      </c>
      <c r="CI34" s="231">
        <v>0</v>
      </c>
      <c r="CJ34" s="231">
        <v>0</v>
      </c>
      <c r="CK34" s="989">
        <v>0</v>
      </c>
      <c r="CL34" s="231">
        <v>0</v>
      </c>
      <c r="CM34" s="231">
        <v>0</v>
      </c>
    </row>
    <row r="35" spans="1:91" ht="15" hidden="1" x14ac:dyDescent="0.3">
      <c r="A35" s="224" t="s">
        <v>359</v>
      </c>
      <c r="B35" s="227"/>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8"/>
      <c r="AG35" s="227"/>
      <c r="AH35" s="227"/>
      <c r="AI35" s="227"/>
      <c r="AJ35" s="227"/>
      <c r="AK35" s="211">
        <v>0</v>
      </c>
      <c r="AL35" s="211">
        <v>0</v>
      </c>
      <c r="AM35" s="211">
        <v>0</v>
      </c>
      <c r="AN35" s="211">
        <v>0</v>
      </c>
      <c r="AO35" s="211">
        <v>0</v>
      </c>
      <c r="AP35" s="211">
        <v>0</v>
      </c>
      <c r="AQ35" s="211">
        <v>0</v>
      </c>
      <c r="AR35" s="211">
        <v>0</v>
      </c>
      <c r="AS35" s="211">
        <v>2550</v>
      </c>
      <c r="AT35" s="211">
        <v>4103</v>
      </c>
      <c r="AU35" s="211">
        <v>3164</v>
      </c>
      <c r="AV35" s="211">
        <v>2064</v>
      </c>
      <c r="AW35" s="211">
        <v>1734</v>
      </c>
      <c r="AX35" s="211">
        <v>4459</v>
      </c>
      <c r="AY35" s="211">
        <v>8900</v>
      </c>
      <c r="AZ35" s="211">
        <v>11298</v>
      </c>
      <c r="BA35" s="211">
        <v>13290</v>
      </c>
      <c r="BB35" s="211">
        <v>8666</v>
      </c>
      <c r="BC35" s="211">
        <v>14442</v>
      </c>
      <c r="BD35" s="211">
        <v>12931</v>
      </c>
      <c r="BE35" s="211">
        <v>5180</v>
      </c>
      <c r="BF35" s="211">
        <v>2752</v>
      </c>
      <c r="BG35" s="211">
        <v>127</v>
      </c>
      <c r="BH35" s="230">
        <v>0</v>
      </c>
      <c r="BI35" s="230">
        <v>0</v>
      </c>
      <c r="BJ35" s="230">
        <v>0</v>
      </c>
      <c r="BK35" s="230">
        <v>0</v>
      </c>
      <c r="BL35" s="230">
        <v>0</v>
      </c>
      <c r="BM35" s="230">
        <v>0</v>
      </c>
      <c r="BN35" s="230">
        <v>0</v>
      </c>
      <c r="BO35" s="230">
        <v>0</v>
      </c>
      <c r="BP35" s="230">
        <v>0</v>
      </c>
      <c r="BQ35" s="230">
        <v>0</v>
      </c>
      <c r="BR35" s="230">
        <v>0</v>
      </c>
      <c r="BS35" s="230">
        <v>0</v>
      </c>
      <c r="BT35" s="230">
        <v>0</v>
      </c>
      <c r="BU35" s="230">
        <v>0</v>
      </c>
      <c r="BV35" s="230">
        <v>0</v>
      </c>
      <c r="BW35" s="230">
        <v>0</v>
      </c>
      <c r="BX35" s="230">
        <v>0</v>
      </c>
      <c r="BY35" s="230">
        <v>0</v>
      </c>
      <c r="BZ35" s="230">
        <v>0</v>
      </c>
      <c r="CA35" s="230">
        <v>0</v>
      </c>
      <c r="CB35" s="230">
        <v>0</v>
      </c>
      <c r="CC35" s="230">
        <v>0</v>
      </c>
      <c r="CD35" s="230">
        <v>0</v>
      </c>
      <c r="CE35" s="230">
        <v>0</v>
      </c>
      <c r="CF35" s="230">
        <v>0</v>
      </c>
      <c r="CG35" s="230">
        <v>0</v>
      </c>
      <c r="CH35" s="230">
        <v>0</v>
      </c>
      <c r="CI35" s="230">
        <v>0</v>
      </c>
      <c r="CJ35" s="230">
        <v>0</v>
      </c>
      <c r="CK35" s="1148">
        <v>0</v>
      </c>
      <c r="CL35" s="230">
        <v>0</v>
      </c>
      <c r="CM35" s="230">
        <v>0</v>
      </c>
    </row>
    <row r="36" spans="1:91" ht="15.5" hidden="1" x14ac:dyDescent="0.35">
      <c r="A36" s="229" t="s">
        <v>358</v>
      </c>
      <c r="B36" s="227"/>
      <c r="C36" s="227"/>
      <c r="D36" s="227"/>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8"/>
      <c r="AG36" s="227"/>
      <c r="AH36" s="227"/>
      <c r="AI36" s="227"/>
      <c r="AJ36" s="227"/>
      <c r="AK36" s="226">
        <v>0</v>
      </c>
      <c r="AL36" s="226">
        <v>0</v>
      </c>
      <c r="AM36" s="226">
        <v>0</v>
      </c>
      <c r="AN36" s="226">
        <v>0</v>
      </c>
      <c r="AO36" s="226">
        <v>0</v>
      </c>
      <c r="AP36" s="226">
        <v>0</v>
      </c>
      <c r="AQ36" s="225">
        <v>0</v>
      </c>
      <c r="AR36" s="225">
        <v>0</v>
      </c>
      <c r="AS36" s="225">
        <v>2550</v>
      </c>
      <c r="AT36" s="225">
        <v>4103</v>
      </c>
      <c r="AU36" s="225">
        <v>3164</v>
      </c>
      <c r="AV36" s="225">
        <v>2064</v>
      </c>
      <c r="AW36" s="225">
        <v>1734</v>
      </c>
      <c r="AX36" s="225">
        <v>4459</v>
      </c>
      <c r="AY36" s="225">
        <v>8900</v>
      </c>
      <c r="AZ36" s="226">
        <v>11298</v>
      </c>
      <c r="BA36" s="225">
        <v>13290</v>
      </c>
      <c r="BB36" s="225">
        <v>8666</v>
      </c>
      <c r="BC36" s="226">
        <v>14442</v>
      </c>
      <c r="BD36" s="226">
        <v>12931</v>
      </c>
      <c r="BE36" s="226">
        <v>5180</v>
      </c>
      <c r="BF36" s="226">
        <v>2752</v>
      </c>
      <c r="BG36" s="225">
        <v>127</v>
      </c>
      <c r="BH36" s="219">
        <v>0</v>
      </c>
      <c r="BI36" s="219">
        <v>0</v>
      </c>
      <c r="BJ36" s="219">
        <v>0</v>
      </c>
      <c r="BK36" s="219">
        <v>0</v>
      </c>
      <c r="BL36" s="219">
        <v>0</v>
      </c>
      <c r="BM36" s="219">
        <v>0</v>
      </c>
      <c r="BN36" s="219">
        <v>0</v>
      </c>
      <c r="BO36" s="219">
        <v>0</v>
      </c>
      <c r="BP36" s="219">
        <v>0</v>
      </c>
      <c r="BQ36" s="219">
        <v>0</v>
      </c>
      <c r="BR36" s="219">
        <v>0</v>
      </c>
      <c r="BS36" s="219">
        <v>0</v>
      </c>
      <c r="BT36" s="219">
        <v>0</v>
      </c>
      <c r="BU36" s="219">
        <v>0</v>
      </c>
      <c r="BV36" s="219">
        <v>0</v>
      </c>
      <c r="BW36" s="219">
        <v>0</v>
      </c>
      <c r="BX36" s="219">
        <v>0</v>
      </c>
      <c r="BY36" s="219">
        <v>0</v>
      </c>
      <c r="BZ36" s="219">
        <v>0</v>
      </c>
      <c r="CA36" s="219">
        <v>0</v>
      </c>
      <c r="CB36" s="219">
        <v>0</v>
      </c>
      <c r="CC36" s="219">
        <v>0</v>
      </c>
      <c r="CD36" s="219">
        <v>0</v>
      </c>
      <c r="CE36" s="219">
        <v>0</v>
      </c>
      <c r="CF36" s="219">
        <v>0</v>
      </c>
      <c r="CG36" s="220">
        <v>0</v>
      </c>
      <c r="CH36" s="219">
        <v>0</v>
      </c>
      <c r="CI36" s="220">
        <v>0</v>
      </c>
      <c r="CJ36" s="219">
        <v>0</v>
      </c>
      <c r="CK36" s="1146">
        <v>0</v>
      </c>
      <c r="CL36" s="219">
        <v>0</v>
      </c>
      <c r="CM36" s="219">
        <v>0</v>
      </c>
    </row>
    <row r="37" spans="1:91" ht="14" hidden="1" x14ac:dyDescent="0.3">
      <c r="A37" s="29" t="s">
        <v>357</v>
      </c>
      <c r="B37" s="227"/>
      <c r="C37" s="227"/>
      <c r="D37" s="227"/>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8"/>
      <c r="AG37" s="227"/>
      <c r="AH37" s="227"/>
      <c r="AI37" s="227"/>
      <c r="AJ37" s="227"/>
      <c r="AK37" s="227"/>
      <c r="AL37" s="227"/>
      <c r="AM37" s="227"/>
      <c r="AN37" s="227"/>
      <c r="AO37" s="227"/>
      <c r="AP37" s="226"/>
      <c r="AQ37" s="225"/>
      <c r="AR37" s="225">
        <v>0</v>
      </c>
      <c r="AS37" s="225">
        <v>0</v>
      </c>
      <c r="AT37" s="225">
        <v>500</v>
      </c>
      <c r="AU37" s="225">
        <v>0</v>
      </c>
      <c r="AV37" s="225">
        <v>0</v>
      </c>
      <c r="AW37" s="225">
        <v>1200</v>
      </c>
      <c r="AX37" s="225">
        <v>4400</v>
      </c>
      <c r="AY37" s="225">
        <v>6602</v>
      </c>
      <c r="AZ37" s="226">
        <v>5241</v>
      </c>
      <c r="BA37" s="225">
        <v>5299</v>
      </c>
      <c r="BB37" s="225">
        <v>3108</v>
      </c>
      <c r="BC37" s="226">
        <v>6471</v>
      </c>
      <c r="BD37" s="226">
        <v>3637</v>
      </c>
      <c r="BE37" s="219">
        <v>0</v>
      </c>
      <c r="BF37" s="219">
        <v>0</v>
      </c>
      <c r="BG37" s="220">
        <v>0</v>
      </c>
      <c r="BH37" s="219">
        <v>0</v>
      </c>
      <c r="BI37" s="219">
        <v>0</v>
      </c>
      <c r="BJ37" s="219">
        <v>0</v>
      </c>
      <c r="BK37" s="219">
        <v>0</v>
      </c>
      <c r="BL37" s="219">
        <v>0</v>
      </c>
      <c r="BM37" s="219">
        <v>0</v>
      </c>
      <c r="BN37" s="219">
        <v>0</v>
      </c>
      <c r="BO37" s="219">
        <v>0</v>
      </c>
      <c r="BP37" s="219">
        <v>0</v>
      </c>
      <c r="BQ37" s="219">
        <v>0</v>
      </c>
      <c r="BR37" s="219">
        <v>0</v>
      </c>
      <c r="BS37" s="219">
        <v>0</v>
      </c>
      <c r="BT37" s="219">
        <v>0</v>
      </c>
      <c r="BU37" s="219">
        <v>0</v>
      </c>
      <c r="BV37" s="219">
        <v>0</v>
      </c>
      <c r="BW37" s="219">
        <v>0</v>
      </c>
      <c r="BX37" s="219">
        <v>0</v>
      </c>
      <c r="BY37" s="219">
        <v>0</v>
      </c>
      <c r="BZ37" s="219">
        <v>0</v>
      </c>
      <c r="CA37" s="219">
        <v>0</v>
      </c>
      <c r="CB37" s="219">
        <v>0</v>
      </c>
      <c r="CC37" s="219">
        <v>0</v>
      </c>
      <c r="CD37" s="219">
        <v>0</v>
      </c>
      <c r="CE37" s="219">
        <v>0</v>
      </c>
      <c r="CF37" s="219">
        <v>0</v>
      </c>
      <c r="CG37" s="220">
        <v>0</v>
      </c>
      <c r="CH37" s="219">
        <v>0</v>
      </c>
      <c r="CI37" s="220">
        <v>0</v>
      </c>
      <c r="CJ37" s="219">
        <v>0</v>
      </c>
      <c r="CK37" s="1146">
        <v>0</v>
      </c>
      <c r="CL37" s="219">
        <v>0</v>
      </c>
      <c r="CM37" s="219">
        <v>0</v>
      </c>
    </row>
    <row r="38" spans="1:91" ht="14" hidden="1" x14ac:dyDescent="0.3">
      <c r="A38" s="29" t="s">
        <v>356</v>
      </c>
      <c r="B38" s="227"/>
      <c r="C38" s="227"/>
      <c r="D38" s="227"/>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8"/>
      <c r="AG38" s="227"/>
      <c r="AH38" s="227"/>
      <c r="AI38" s="227"/>
      <c r="AJ38" s="227"/>
      <c r="AK38" s="227"/>
      <c r="AL38" s="227"/>
      <c r="AM38" s="227"/>
      <c r="AN38" s="227"/>
      <c r="AO38" s="227"/>
      <c r="AP38" s="226"/>
      <c r="AQ38" s="225"/>
      <c r="AR38" s="225">
        <v>0</v>
      </c>
      <c r="AS38" s="225">
        <v>500</v>
      </c>
      <c r="AT38" s="225">
        <v>500</v>
      </c>
      <c r="AU38" s="225">
        <v>0</v>
      </c>
      <c r="AV38" s="225">
        <v>0</v>
      </c>
      <c r="AW38" s="225">
        <v>0</v>
      </c>
      <c r="AX38" s="225">
        <v>0</v>
      </c>
      <c r="AY38" s="225">
        <v>1773</v>
      </c>
      <c r="AZ38" s="226">
        <v>4592</v>
      </c>
      <c r="BA38" s="225">
        <v>5416</v>
      </c>
      <c r="BB38" s="225">
        <v>2691</v>
      </c>
      <c r="BC38" s="226">
        <v>3004</v>
      </c>
      <c r="BD38" s="226">
        <v>5140</v>
      </c>
      <c r="BE38" s="226">
        <v>2136</v>
      </c>
      <c r="BF38" s="219">
        <v>0</v>
      </c>
      <c r="BG38" s="220">
        <v>0</v>
      </c>
      <c r="BH38" s="219">
        <v>0</v>
      </c>
      <c r="BI38" s="219">
        <v>0</v>
      </c>
      <c r="BJ38" s="219">
        <v>0</v>
      </c>
      <c r="BK38" s="219">
        <v>0</v>
      </c>
      <c r="BL38" s="219">
        <v>0</v>
      </c>
      <c r="BM38" s="219">
        <v>0</v>
      </c>
      <c r="BN38" s="219">
        <v>0</v>
      </c>
      <c r="BO38" s="219">
        <v>0</v>
      </c>
      <c r="BP38" s="219">
        <v>0</v>
      </c>
      <c r="BQ38" s="219">
        <v>0</v>
      </c>
      <c r="BR38" s="219">
        <v>0</v>
      </c>
      <c r="BS38" s="219">
        <v>0</v>
      </c>
      <c r="BT38" s="219">
        <v>0</v>
      </c>
      <c r="BU38" s="219">
        <v>0</v>
      </c>
      <c r="BV38" s="219">
        <v>0</v>
      </c>
      <c r="BW38" s="219">
        <v>0</v>
      </c>
      <c r="BX38" s="219">
        <v>0</v>
      </c>
      <c r="BY38" s="219">
        <v>0</v>
      </c>
      <c r="BZ38" s="219">
        <v>0</v>
      </c>
      <c r="CA38" s="219">
        <v>0</v>
      </c>
      <c r="CB38" s="219">
        <v>0</v>
      </c>
      <c r="CC38" s="219">
        <v>0</v>
      </c>
      <c r="CD38" s="219">
        <v>0</v>
      </c>
      <c r="CE38" s="219">
        <v>0</v>
      </c>
      <c r="CF38" s="219">
        <v>0</v>
      </c>
      <c r="CG38" s="220">
        <v>0</v>
      </c>
      <c r="CH38" s="219">
        <v>0</v>
      </c>
      <c r="CI38" s="220">
        <v>0</v>
      </c>
      <c r="CJ38" s="219">
        <v>0</v>
      </c>
      <c r="CK38" s="1146">
        <v>0</v>
      </c>
      <c r="CL38" s="219">
        <v>0</v>
      </c>
      <c r="CM38" s="219">
        <v>0</v>
      </c>
    </row>
    <row r="39" spans="1:91" ht="14" hidden="1" x14ac:dyDescent="0.3">
      <c r="A39" s="29" t="s">
        <v>355</v>
      </c>
      <c r="B39" s="227"/>
      <c r="C39" s="227"/>
      <c r="D39" s="227"/>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8"/>
      <c r="AG39" s="227"/>
      <c r="AH39" s="227"/>
      <c r="AI39" s="227"/>
      <c r="AJ39" s="227"/>
      <c r="AK39" s="227"/>
      <c r="AL39" s="227"/>
      <c r="AM39" s="227"/>
      <c r="AN39" s="227"/>
      <c r="AO39" s="227"/>
      <c r="AP39" s="226"/>
      <c r="AQ39" s="225"/>
      <c r="AR39" s="225">
        <v>0</v>
      </c>
      <c r="AS39" s="225">
        <v>1100</v>
      </c>
      <c r="AT39" s="225">
        <v>1680</v>
      </c>
      <c r="AU39" s="225">
        <v>1680</v>
      </c>
      <c r="AV39" s="225">
        <v>580</v>
      </c>
      <c r="AW39" s="225">
        <v>0</v>
      </c>
      <c r="AX39" s="225">
        <v>0</v>
      </c>
      <c r="AY39" s="225">
        <v>0</v>
      </c>
      <c r="AZ39" s="226">
        <v>0</v>
      </c>
      <c r="BA39" s="225">
        <v>0</v>
      </c>
      <c r="BB39" s="225">
        <v>0</v>
      </c>
      <c r="BC39" s="226">
        <v>0</v>
      </c>
      <c r="BD39" s="226"/>
      <c r="BE39" s="226"/>
      <c r="BF39" s="226"/>
      <c r="BG39" s="225"/>
      <c r="BH39" s="219"/>
      <c r="BI39" s="219"/>
      <c r="BJ39" s="219"/>
      <c r="BK39" s="219"/>
      <c r="BL39" s="219"/>
      <c r="BM39" s="219"/>
      <c r="BN39" s="219"/>
      <c r="BO39" s="219"/>
      <c r="BP39" s="219"/>
      <c r="BQ39" s="219"/>
      <c r="BR39" s="219"/>
      <c r="BS39" s="219"/>
      <c r="BT39" s="219"/>
      <c r="BU39" s="219"/>
      <c r="BV39" s="219"/>
      <c r="BW39" s="219"/>
      <c r="BX39" s="219"/>
      <c r="BY39" s="219"/>
      <c r="BZ39" s="219"/>
      <c r="CA39" s="219"/>
      <c r="CB39" s="219"/>
      <c r="CC39" s="219"/>
      <c r="CD39" s="219"/>
      <c r="CE39" s="219"/>
      <c r="CF39" s="219"/>
      <c r="CG39" s="220"/>
      <c r="CH39" s="219"/>
      <c r="CI39" s="220"/>
      <c r="CJ39" s="219"/>
      <c r="CK39" s="1146"/>
      <c r="CL39" s="219"/>
      <c r="CM39" s="219"/>
    </row>
    <row r="40" spans="1:91" ht="14" hidden="1" x14ac:dyDescent="0.3">
      <c r="A40" s="29" t="s">
        <v>354</v>
      </c>
      <c r="B40" s="218"/>
      <c r="C40" s="218"/>
      <c r="D40" s="218"/>
      <c r="E40" s="218"/>
      <c r="F40" s="216"/>
      <c r="G40" s="216"/>
      <c r="H40" s="216"/>
      <c r="I40" s="217"/>
      <c r="J40" s="216"/>
      <c r="K40" s="216"/>
      <c r="L40" s="216"/>
      <c r="M40" s="216"/>
      <c r="N40" s="216"/>
      <c r="O40" s="216"/>
      <c r="P40" s="216"/>
      <c r="Q40" s="216"/>
      <c r="R40" s="216"/>
      <c r="S40" s="216"/>
      <c r="T40" s="216"/>
      <c r="U40" s="216"/>
      <c r="V40" s="216"/>
      <c r="W40" s="216"/>
      <c r="X40" s="216"/>
      <c r="Y40" s="216"/>
      <c r="Z40" s="216"/>
      <c r="AA40" s="216"/>
      <c r="AB40" s="216"/>
      <c r="AC40" s="214"/>
      <c r="AD40" s="214"/>
      <c r="AE40" s="214"/>
      <c r="AF40" s="215"/>
      <c r="AG40" s="214"/>
      <c r="AH40" s="214"/>
      <c r="AI40" s="214"/>
      <c r="AJ40" s="214"/>
      <c r="AK40" s="214"/>
      <c r="AL40" s="214"/>
      <c r="AM40" s="214"/>
      <c r="AN40" s="214"/>
      <c r="AO40" s="214"/>
      <c r="AP40" s="54"/>
      <c r="AQ40" s="19"/>
      <c r="AR40" s="225">
        <v>0</v>
      </c>
      <c r="AS40" s="225">
        <v>950</v>
      </c>
      <c r="AT40" s="225">
        <v>1423</v>
      </c>
      <c r="AU40" s="225">
        <v>1484</v>
      </c>
      <c r="AV40" s="225">
        <v>1484</v>
      </c>
      <c r="AW40" s="225">
        <v>534</v>
      </c>
      <c r="AX40" s="225">
        <v>59</v>
      </c>
      <c r="AY40" s="225">
        <v>525</v>
      </c>
      <c r="AZ40" s="226">
        <v>1465</v>
      </c>
      <c r="BA40" s="225">
        <v>2575</v>
      </c>
      <c r="BB40" s="225">
        <v>2867</v>
      </c>
      <c r="BC40" s="226">
        <v>4967</v>
      </c>
      <c r="BD40" s="226">
        <v>4154</v>
      </c>
      <c r="BE40" s="226">
        <v>3044</v>
      </c>
      <c r="BF40" s="226">
        <v>2752</v>
      </c>
      <c r="BG40" s="225">
        <v>127</v>
      </c>
      <c r="BH40" s="219">
        <v>0</v>
      </c>
      <c r="BI40" s="219">
        <v>0</v>
      </c>
      <c r="BJ40" s="219">
        <v>0</v>
      </c>
      <c r="BK40" s="219">
        <v>0</v>
      </c>
      <c r="BL40" s="219">
        <v>0</v>
      </c>
      <c r="BM40" s="219">
        <v>0</v>
      </c>
      <c r="BN40" s="219">
        <v>0</v>
      </c>
      <c r="BO40" s="219">
        <v>0</v>
      </c>
      <c r="BP40" s="219">
        <v>0</v>
      </c>
      <c r="BQ40" s="219">
        <v>0</v>
      </c>
      <c r="BR40" s="219">
        <v>0</v>
      </c>
      <c r="BS40" s="219">
        <v>0</v>
      </c>
      <c r="BT40" s="219">
        <v>0</v>
      </c>
      <c r="BU40" s="219">
        <v>0</v>
      </c>
      <c r="BV40" s="219">
        <v>0</v>
      </c>
      <c r="BW40" s="219">
        <v>0</v>
      </c>
      <c r="BX40" s="219">
        <v>0</v>
      </c>
      <c r="BY40" s="219">
        <v>0</v>
      </c>
      <c r="BZ40" s="219">
        <v>0</v>
      </c>
      <c r="CA40" s="219">
        <v>0</v>
      </c>
      <c r="CB40" s="219">
        <v>0</v>
      </c>
      <c r="CC40" s="219">
        <v>0</v>
      </c>
      <c r="CD40" s="219">
        <v>0</v>
      </c>
      <c r="CE40" s="219">
        <v>0</v>
      </c>
      <c r="CF40" s="219">
        <v>0</v>
      </c>
      <c r="CG40" s="220">
        <v>0</v>
      </c>
      <c r="CH40" s="219">
        <v>0</v>
      </c>
      <c r="CI40" s="220">
        <v>0</v>
      </c>
      <c r="CJ40" s="219">
        <v>0</v>
      </c>
      <c r="CK40" s="1146">
        <v>0</v>
      </c>
      <c r="CL40" s="219">
        <v>0</v>
      </c>
      <c r="CM40" s="219">
        <v>0</v>
      </c>
    </row>
    <row r="41" spans="1:91" ht="14" hidden="1" x14ac:dyDescent="0.3">
      <c r="A41" s="29"/>
      <c r="B41" s="218"/>
      <c r="C41" s="218"/>
      <c r="D41" s="218"/>
      <c r="E41" s="218"/>
      <c r="F41" s="216"/>
      <c r="G41" s="216"/>
      <c r="H41" s="216"/>
      <c r="I41" s="217"/>
      <c r="J41" s="216"/>
      <c r="K41" s="216"/>
      <c r="L41" s="216"/>
      <c r="M41" s="216"/>
      <c r="N41" s="216"/>
      <c r="O41" s="216"/>
      <c r="P41" s="216"/>
      <c r="Q41" s="216"/>
      <c r="R41" s="216"/>
      <c r="S41" s="216"/>
      <c r="T41" s="216"/>
      <c r="U41" s="216"/>
      <c r="V41" s="216"/>
      <c r="W41" s="216"/>
      <c r="X41" s="216"/>
      <c r="Y41" s="216"/>
      <c r="Z41" s="216"/>
      <c r="AA41" s="216"/>
      <c r="AB41" s="216"/>
      <c r="AC41" s="214"/>
      <c r="AD41" s="214"/>
      <c r="AE41" s="214"/>
      <c r="AF41" s="215"/>
      <c r="AG41" s="214"/>
      <c r="AH41" s="214"/>
      <c r="AI41" s="214"/>
      <c r="AJ41" s="214"/>
      <c r="AK41" s="214"/>
      <c r="AL41" s="214"/>
      <c r="AM41" s="214"/>
      <c r="AN41" s="214"/>
      <c r="AO41" s="214"/>
      <c r="AP41" s="54"/>
      <c r="AQ41" s="19"/>
      <c r="AR41" s="19"/>
      <c r="AS41" s="19"/>
      <c r="AT41" s="19"/>
      <c r="AU41" s="19"/>
      <c r="AV41" s="19"/>
      <c r="AW41" s="19"/>
      <c r="AX41" s="19"/>
      <c r="AY41" s="19"/>
      <c r="AZ41" s="54"/>
      <c r="BA41" s="19"/>
      <c r="BB41" s="19"/>
      <c r="BC41" s="54"/>
      <c r="BD41" s="54"/>
      <c r="BE41" s="54"/>
      <c r="BF41" s="54"/>
      <c r="BG41" s="19"/>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19"/>
      <c r="CH41" s="54"/>
      <c r="CI41" s="19"/>
      <c r="CJ41" s="54"/>
      <c r="CK41" s="1119"/>
      <c r="CL41" s="54"/>
      <c r="CM41" s="54"/>
    </row>
    <row r="42" spans="1:91" ht="15" hidden="1" x14ac:dyDescent="0.3">
      <c r="A42" s="224" t="s">
        <v>353</v>
      </c>
      <c r="B42" s="218"/>
      <c r="C42" s="218"/>
      <c r="D42" s="218"/>
      <c r="E42" s="218"/>
      <c r="F42" s="216"/>
      <c r="G42" s="216"/>
      <c r="H42" s="216"/>
      <c r="I42" s="217"/>
      <c r="J42" s="216"/>
      <c r="K42" s="216"/>
      <c r="L42" s="216"/>
      <c r="M42" s="216"/>
      <c r="N42" s="216"/>
      <c r="O42" s="216"/>
      <c r="P42" s="216"/>
      <c r="Q42" s="216"/>
      <c r="R42" s="216"/>
      <c r="S42" s="216"/>
      <c r="T42" s="216"/>
      <c r="U42" s="216"/>
      <c r="V42" s="216"/>
      <c r="W42" s="216"/>
      <c r="X42" s="216"/>
      <c r="Y42" s="216"/>
      <c r="Z42" s="216"/>
      <c r="AA42" s="216"/>
      <c r="AB42" s="216"/>
      <c r="AC42" s="214"/>
      <c r="AD42" s="214"/>
      <c r="AE42" s="214"/>
      <c r="AF42" s="215"/>
      <c r="AG42" s="214"/>
      <c r="AH42" s="214"/>
      <c r="AI42" s="214"/>
      <c r="AJ42" s="214"/>
      <c r="AK42" s="223">
        <v>0</v>
      </c>
      <c r="AL42" s="223">
        <v>0</v>
      </c>
      <c r="AM42" s="223">
        <v>0</v>
      </c>
      <c r="AN42" s="223">
        <v>0</v>
      </c>
      <c r="AO42" s="223">
        <v>0</v>
      </c>
      <c r="AP42" s="223">
        <v>0</v>
      </c>
      <c r="AQ42" s="14">
        <v>0</v>
      </c>
      <c r="AR42" s="14">
        <v>0</v>
      </c>
      <c r="AS42" s="14">
        <v>952</v>
      </c>
      <c r="AT42" s="14">
        <v>1319</v>
      </c>
      <c r="AU42" s="14">
        <v>1514</v>
      </c>
      <c r="AV42" s="14">
        <v>1513</v>
      </c>
      <c r="AW42" s="14">
        <v>1509</v>
      </c>
      <c r="AX42" s="14">
        <v>1508</v>
      </c>
      <c r="AY42" s="14">
        <v>1508</v>
      </c>
      <c r="AZ42" s="223">
        <v>1508</v>
      </c>
      <c r="BA42" s="14">
        <v>1507</v>
      </c>
      <c r="BB42" s="14">
        <v>1506</v>
      </c>
      <c r="BC42" s="223">
        <v>1505</v>
      </c>
      <c r="BD42" s="223">
        <v>1505</v>
      </c>
      <c r="BE42" s="223">
        <v>1186</v>
      </c>
      <c r="BF42" s="223">
        <v>975</v>
      </c>
      <c r="BG42" s="14">
        <v>894</v>
      </c>
      <c r="BH42" s="223">
        <v>894</v>
      </c>
      <c r="BI42" s="223">
        <v>894</v>
      </c>
      <c r="BJ42" s="223">
        <v>894</v>
      </c>
      <c r="BK42" s="223">
        <v>893</v>
      </c>
      <c r="BL42" s="223">
        <v>893</v>
      </c>
      <c r="BM42" s="223">
        <v>269</v>
      </c>
      <c r="BN42" s="223">
        <v>114</v>
      </c>
      <c r="BO42" s="223">
        <v>0</v>
      </c>
      <c r="BP42" s="223">
        <v>0</v>
      </c>
      <c r="BQ42" s="223">
        <v>0</v>
      </c>
      <c r="BR42" s="223">
        <v>0</v>
      </c>
      <c r="BS42" s="223">
        <v>0</v>
      </c>
      <c r="BT42" s="223">
        <v>0</v>
      </c>
      <c r="BU42" s="223">
        <v>0</v>
      </c>
      <c r="BV42" s="223">
        <v>0</v>
      </c>
      <c r="BW42" s="223">
        <v>0</v>
      </c>
      <c r="BX42" s="223">
        <v>0</v>
      </c>
      <c r="BY42" s="223">
        <v>0</v>
      </c>
      <c r="BZ42" s="223">
        <v>0</v>
      </c>
      <c r="CA42" s="223">
        <v>0</v>
      </c>
      <c r="CB42" s="223">
        <v>0</v>
      </c>
      <c r="CC42" s="223">
        <v>0</v>
      </c>
      <c r="CD42" s="223">
        <v>0</v>
      </c>
      <c r="CE42" s="223">
        <v>0</v>
      </c>
      <c r="CF42" s="223">
        <v>0</v>
      </c>
      <c r="CG42" s="14">
        <v>0</v>
      </c>
      <c r="CH42" s="223">
        <v>0</v>
      </c>
      <c r="CI42" s="14">
        <v>0</v>
      </c>
      <c r="CJ42" s="223">
        <v>0</v>
      </c>
      <c r="CK42" s="1149">
        <v>0</v>
      </c>
      <c r="CL42" s="223">
        <v>0</v>
      </c>
      <c r="CM42" s="223">
        <v>0</v>
      </c>
    </row>
    <row r="43" spans="1:91" ht="15.5" hidden="1" x14ac:dyDescent="0.3">
      <c r="A43" s="222" t="s">
        <v>352</v>
      </c>
      <c r="B43" s="218"/>
      <c r="C43" s="218"/>
      <c r="D43" s="218"/>
      <c r="E43" s="218"/>
      <c r="F43" s="216"/>
      <c r="G43" s="216"/>
      <c r="H43" s="216"/>
      <c r="I43" s="217"/>
      <c r="J43" s="216"/>
      <c r="K43" s="216"/>
      <c r="L43" s="216"/>
      <c r="M43" s="216"/>
      <c r="N43" s="216"/>
      <c r="O43" s="216"/>
      <c r="P43" s="216"/>
      <c r="Q43" s="216"/>
      <c r="R43" s="216"/>
      <c r="S43" s="216"/>
      <c r="T43" s="216"/>
      <c r="U43" s="216"/>
      <c r="V43" s="216"/>
      <c r="W43" s="216"/>
      <c r="X43" s="216"/>
      <c r="Y43" s="216"/>
      <c r="Z43" s="216"/>
      <c r="AA43" s="216"/>
      <c r="AB43" s="216"/>
      <c r="AC43" s="214"/>
      <c r="AD43" s="214"/>
      <c r="AE43" s="214"/>
      <c r="AF43" s="215"/>
      <c r="AG43" s="214"/>
      <c r="AH43" s="214"/>
      <c r="AI43" s="214"/>
      <c r="AJ43" s="214"/>
      <c r="AK43" s="214"/>
      <c r="AL43" s="214"/>
      <c r="AM43" s="214"/>
      <c r="AN43" s="214"/>
      <c r="AO43" s="214"/>
      <c r="AP43" s="54"/>
      <c r="AQ43" s="19"/>
      <c r="AR43" s="47">
        <v>0</v>
      </c>
      <c r="AS43" s="47">
        <v>952</v>
      </c>
      <c r="AT43" s="47">
        <v>1319</v>
      </c>
      <c r="AU43" s="47">
        <v>1514</v>
      </c>
      <c r="AV43" s="47">
        <v>1513</v>
      </c>
      <c r="AW43" s="47">
        <v>1509</v>
      </c>
      <c r="AX43" s="47">
        <v>1508</v>
      </c>
      <c r="AY43" s="47">
        <v>1508</v>
      </c>
      <c r="AZ43" s="221">
        <v>1508</v>
      </c>
      <c r="BA43" s="47">
        <v>1507</v>
      </c>
      <c r="BB43" s="47">
        <v>1506</v>
      </c>
      <c r="BC43" s="221">
        <v>1505</v>
      </c>
      <c r="BD43" s="221">
        <v>1505</v>
      </c>
      <c r="BE43" s="221">
        <v>1186</v>
      </c>
      <c r="BF43" s="221">
        <v>975</v>
      </c>
      <c r="BG43" s="47">
        <v>894</v>
      </c>
      <c r="BH43" s="221">
        <v>894</v>
      </c>
      <c r="BI43" s="221">
        <v>894</v>
      </c>
      <c r="BJ43" s="221">
        <v>894</v>
      </c>
      <c r="BK43" s="221">
        <v>893</v>
      </c>
      <c r="BL43" s="221">
        <v>893</v>
      </c>
      <c r="BM43" s="221">
        <v>269</v>
      </c>
      <c r="BN43" s="221">
        <v>114</v>
      </c>
      <c r="BO43" s="219">
        <v>0</v>
      </c>
      <c r="BP43" s="219">
        <v>0</v>
      </c>
      <c r="BQ43" s="219">
        <v>0</v>
      </c>
      <c r="BR43" s="219">
        <v>0</v>
      </c>
      <c r="BS43" s="219">
        <v>0</v>
      </c>
      <c r="BT43" s="219">
        <v>0</v>
      </c>
      <c r="BU43" s="219">
        <v>0</v>
      </c>
      <c r="BV43" s="219">
        <v>0</v>
      </c>
      <c r="BW43" s="219">
        <v>0</v>
      </c>
      <c r="BX43" s="219">
        <v>0</v>
      </c>
      <c r="BY43" s="219">
        <v>0</v>
      </c>
      <c r="BZ43" s="219">
        <v>0</v>
      </c>
      <c r="CA43" s="219">
        <v>0</v>
      </c>
      <c r="CB43" s="219">
        <v>0</v>
      </c>
      <c r="CC43" s="219">
        <v>0</v>
      </c>
      <c r="CD43" s="219">
        <v>0</v>
      </c>
      <c r="CE43" s="219">
        <v>0</v>
      </c>
      <c r="CF43" s="219">
        <v>0</v>
      </c>
      <c r="CG43" s="220">
        <v>0</v>
      </c>
      <c r="CH43" s="219">
        <v>0</v>
      </c>
      <c r="CI43" s="220">
        <v>0</v>
      </c>
      <c r="CJ43" s="219">
        <v>0</v>
      </c>
      <c r="CK43" s="1146">
        <v>0</v>
      </c>
      <c r="CL43" s="219">
        <v>0</v>
      </c>
      <c r="CM43" s="219">
        <v>0</v>
      </c>
    </row>
    <row r="44" spans="1:91" ht="8" customHeight="1" x14ac:dyDescent="0.3">
      <c r="A44" s="29"/>
      <c r="B44" s="218"/>
      <c r="C44" s="218"/>
      <c r="D44" s="218"/>
      <c r="E44" s="218"/>
      <c r="F44" s="216"/>
      <c r="G44" s="216"/>
      <c r="H44" s="216"/>
      <c r="I44" s="217"/>
      <c r="J44" s="216"/>
      <c r="K44" s="216"/>
      <c r="L44" s="216"/>
      <c r="M44" s="216"/>
      <c r="N44" s="216"/>
      <c r="O44" s="216"/>
      <c r="P44" s="216"/>
      <c r="Q44" s="216"/>
      <c r="R44" s="216"/>
      <c r="S44" s="216"/>
      <c r="T44" s="216"/>
      <c r="U44" s="216"/>
      <c r="V44" s="216"/>
      <c r="W44" s="216"/>
      <c r="X44" s="216"/>
      <c r="Y44" s="216"/>
      <c r="Z44" s="216"/>
      <c r="AA44" s="216"/>
      <c r="AB44" s="216"/>
      <c r="AC44" s="214"/>
      <c r="AD44" s="214"/>
      <c r="AE44" s="214"/>
      <c r="AF44" s="215"/>
      <c r="AG44" s="214"/>
      <c r="AH44" s="214"/>
      <c r="AI44" s="214"/>
      <c r="AJ44" s="214"/>
      <c r="AK44" s="214"/>
      <c r="AL44" s="214"/>
      <c r="AM44" s="214"/>
      <c r="AN44" s="214"/>
      <c r="AO44" s="214"/>
      <c r="AP44" s="54"/>
      <c r="AQ44" s="19"/>
      <c r="AR44" s="19"/>
      <c r="AS44" s="19"/>
      <c r="AT44" s="19"/>
      <c r="AU44" s="19"/>
      <c r="AV44" s="19"/>
      <c r="AW44" s="19"/>
      <c r="AX44" s="19"/>
      <c r="AY44" s="19"/>
      <c r="AZ44" s="54"/>
      <c r="BA44" s="19"/>
      <c r="BB44" s="19"/>
      <c r="BC44" s="54"/>
      <c r="BD44" s="54"/>
      <c r="BE44" s="54"/>
      <c r="BF44" s="54"/>
      <c r="BG44" s="19"/>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19"/>
      <c r="CH44" s="54"/>
      <c r="CI44" s="19"/>
      <c r="CJ44" s="54"/>
      <c r="CK44" s="1119"/>
      <c r="CL44" s="54"/>
      <c r="CM44" s="54"/>
    </row>
    <row r="45" spans="1:91" ht="16.5" x14ac:dyDescent="0.3">
      <c r="A45" s="213" t="s">
        <v>351</v>
      </c>
      <c r="B45" s="211">
        <v>56836.5</v>
      </c>
      <c r="C45" s="211">
        <v>52827.5</v>
      </c>
      <c r="D45" s="211">
        <v>60561</v>
      </c>
      <c r="E45" s="211">
        <v>64973.599999999999</v>
      </c>
      <c r="F45" s="211">
        <v>75879.799999999988</v>
      </c>
      <c r="G45" s="211">
        <v>85956</v>
      </c>
      <c r="H45" s="211">
        <v>96121.3</v>
      </c>
      <c r="I45" s="211">
        <v>93644.2</v>
      </c>
      <c r="J45" s="211">
        <v>94094.1</v>
      </c>
      <c r="K45" s="211">
        <v>98029</v>
      </c>
      <c r="L45" s="211">
        <v>106489.5</v>
      </c>
      <c r="M45" s="211">
        <v>110415.7</v>
      </c>
      <c r="N45" s="211">
        <v>114084</v>
      </c>
      <c r="O45" s="211">
        <v>118131.4</v>
      </c>
      <c r="P45" s="211">
        <v>122875.29999999999</v>
      </c>
      <c r="Q45" s="211">
        <v>117176.19999999998</v>
      </c>
      <c r="R45" s="211">
        <v>115695.79999999999</v>
      </c>
      <c r="S45" s="211">
        <v>112286.1</v>
      </c>
      <c r="T45" s="211">
        <v>122988.7</v>
      </c>
      <c r="U45" s="211">
        <v>123331.09999999999</v>
      </c>
      <c r="V45" s="211">
        <v>121225.8</v>
      </c>
      <c r="W45" s="211">
        <v>126316</v>
      </c>
      <c r="X45" s="211">
        <v>135720</v>
      </c>
      <c r="Y45" s="211">
        <v>140501</v>
      </c>
      <c r="Z45" s="211">
        <v>147260</v>
      </c>
      <c r="AA45" s="211">
        <v>144053</v>
      </c>
      <c r="AB45" s="211">
        <v>147806</v>
      </c>
      <c r="AC45" s="211">
        <v>151813</v>
      </c>
      <c r="AD45" s="211">
        <v>155348.4</v>
      </c>
      <c r="AE45" s="211">
        <v>157275.4</v>
      </c>
      <c r="AF45" s="212">
        <v>159558.29999999999</v>
      </c>
      <c r="AG45" s="211">
        <v>161480.9</v>
      </c>
      <c r="AH45" s="211">
        <v>168570.3</v>
      </c>
      <c r="AI45" s="211">
        <v>169578</v>
      </c>
      <c r="AJ45" s="211">
        <v>174021</v>
      </c>
      <c r="AK45" s="211">
        <v>175139</v>
      </c>
      <c r="AL45" s="211">
        <v>176754</v>
      </c>
      <c r="AM45" s="211">
        <v>180115</v>
      </c>
      <c r="AN45" s="211">
        <v>186417</v>
      </c>
      <c r="AO45" s="211">
        <v>193712</v>
      </c>
      <c r="AP45" s="211">
        <v>197122</v>
      </c>
      <c r="AQ45" s="211">
        <v>202321.9</v>
      </c>
      <c r="AR45" s="211">
        <v>208432.5</v>
      </c>
      <c r="AS45" s="211">
        <v>214345</v>
      </c>
      <c r="AT45" s="211">
        <v>216714</v>
      </c>
      <c r="AU45" s="211">
        <v>224763</v>
      </c>
      <c r="AV45" s="211">
        <v>226619</v>
      </c>
      <c r="AW45" s="211">
        <v>232186</v>
      </c>
      <c r="AX45" s="211">
        <v>236325</v>
      </c>
      <c r="AY45" s="211">
        <v>243915</v>
      </c>
      <c r="AZ45" s="211">
        <v>251262</v>
      </c>
      <c r="BA45" s="211">
        <v>254803</v>
      </c>
      <c r="BB45" s="211">
        <v>257917</v>
      </c>
      <c r="BC45" s="211">
        <v>264132</v>
      </c>
      <c r="BD45" s="211">
        <v>265432.8</v>
      </c>
      <c r="BE45" s="211">
        <v>262163.7</v>
      </c>
      <c r="BF45" s="211">
        <v>261773</v>
      </c>
      <c r="BG45" s="211">
        <v>263842.09999999998</v>
      </c>
      <c r="BH45" s="211">
        <v>270320.90000000002</v>
      </c>
      <c r="BI45" s="211">
        <v>276797.40000000002</v>
      </c>
      <c r="BJ45" s="211">
        <v>278576.34999999998</v>
      </c>
      <c r="BK45" s="211">
        <v>286615.5</v>
      </c>
      <c r="BL45" s="211">
        <v>289534.5</v>
      </c>
      <c r="BM45" s="211">
        <v>295853.09999999998</v>
      </c>
      <c r="BN45" s="211">
        <v>297835.5</v>
      </c>
      <c r="BO45" s="211">
        <v>297137.59999999998</v>
      </c>
      <c r="BP45" s="211">
        <v>348425.1</v>
      </c>
      <c r="BQ45" s="211">
        <v>342570.2</v>
      </c>
      <c r="BR45" s="211">
        <v>334520.84999999998</v>
      </c>
      <c r="BS45" s="211">
        <v>359390.1</v>
      </c>
      <c r="BT45" s="211">
        <v>392532.8</v>
      </c>
      <c r="BU45" s="211">
        <v>404295.3</v>
      </c>
      <c r="BV45" s="211">
        <v>392860.85</v>
      </c>
      <c r="BW45" s="211">
        <v>399820.25</v>
      </c>
      <c r="BX45" s="211">
        <v>411079.1</v>
      </c>
      <c r="BY45" s="211">
        <v>416435.5</v>
      </c>
      <c r="BZ45" s="211">
        <v>427895.15</v>
      </c>
      <c r="CA45" s="211">
        <v>438354.15</v>
      </c>
      <c r="CB45" s="211">
        <v>448647.45</v>
      </c>
      <c r="CC45" s="211">
        <v>451759.85</v>
      </c>
      <c r="CD45" s="211">
        <v>465977.55</v>
      </c>
      <c r="CE45" s="211">
        <v>477988.2</v>
      </c>
      <c r="CF45" s="211">
        <v>491731.95</v>
      </c>
      <c r="CG45" s="211">
        <v>522107</v>
      </c>
      <c r="CH45" s="211">
        <v>537949</v>
      </c>
      <c r="CI45" s="211">
        <v>558167</v>
      </c>
      <c r="CJ45" s="211">
        <v>570367.71100000001</v>
      </c>
      <c r="CK45" s="988">
        <v>590864.4</v>
      </c>
      <c r="CL45" s="211">
        <v>598786</v>
      </c>
      <c r="CM45" s="211">
        <v>610037</v>
      </c>
    </row>
    <row r="46" spans="1:91" ht="8.4" customHeight="1" x14ac:dyDescent="0.3">
      <c r="A46" s="7"/>
      <c r="B46" s="209"/>
      <c r="C46" s="209"/>
      <c r="D46" s="209"/>
      <c r="E46" s="209"/>
      <c r="F46" s="209"/>
      <c r="G46" s="209"/>
      <c r="H46" s="209"/>
      <c r="I46" s="210"/>
      <c r="J46" s="209"/>
      <c r="K46" s="209"/>
      <c r="L46" s="209"/>
      <c r="M46" s="209"/>
      <c r="N46" s="209"/>
      <c r="O46" s="209"/>
      <c r="P46" s="209"/>
      <c r="Q46" s="209"/>
      <c r="R46" s="209"/>
      <c r="S46" s="209"/>
      <c r="T46" s="209"/>
      <c r="U46" s="209"/>
      <c r="V46" s="209"/>
      <c r="W46" s="209"/>
      <c r="X46" s="209"/>
      <c r="Y46" s="209"/>
      <c r="Z46" s="209"/>
      <c r="AA46" s="209"/>
      <c r="AB46" s="209"/>
      <c r="AC46" s="207"/>
      <c r="AD46" s="207"/>
      <c r="AE46" s="207"/>
      <c r="AF46" s="208"/>
      <c r="AG46" s="207"/>
      <c r="AH46" s="207"/>
      <c r="AI46" s="207"/>
      <c r="AJ46" s="207"/>
      <c r="AK46" s="207"/>
      <c r="AL46" s="207"/>
      <c r="AM46" s="207"/>
      <c r="AN46" s="207"/>
      <c r="AO46" s="207"/>
      <c r="AP46" s="206"/>
      <c r="AQ46" s="18"/>
      <c r="AR46" s="18"/>
      <c r="AS46" s="18"/>
      <c r="AT46" s="18"/>
      <c r="AU46" s="18"/>
      <c r="AV46" s="18"/>
      <c r="AW46" s="18"/>
      <c r="AX46" s="18"/>
      <c r="AY46" s="18"/>
      <c r="AZ46" s="206"/>
      <c r="BA46" s="18"/>
      <c r="BB46" s="18"/>
      <c r="BC46" s="206"/>
      <c r="BD46" s="206"/>
      <c r="BE46" s="206"/>
      <c r="BF46" s="206"/>
      <c r="BG46" s="18"/>
      <c r="BH46" s="206"/>
      <c r="BI46" s="206"/>
      <c r="BJ46" s="206"/>
      <c r="BK46" s="206"/>
      <c r="BL46" s="206"/>
      <c r="BM46" s="206"/>
      <c r="BN46" s="206"/>
      <c r="BO46" s="206"/>
      <c r="BP46" s="206"/>
      <c r="BQ46" s="206"/>
      <c r="BR46" s="206"/>
      <c r="BS46" s="206"/>
      <c r="BT46" s="206"/>
      <c r="BU46" s="206"/>
      <c r="BV46" s="206"/>
      <c r="BW46" s="206"/>
      <c r="BX46" s="206"/>
      <c r="BY46" s="206"/>
      <c r="BZ46" s="206"/>
      <c r="CA46" s="206"/>
      <c r="CB46" s="206"/>
      <c r="CC46" s="206"/>
      <c r="CD46" s="206"/>
      <c r="CE46" s="206"/>
      <c r="CF46" s="206"/>
      <c r="CG46" s="18"/>
      <c r="CH46" s="206"/>
      <c r="CI46" s="18"/>
      <c r="CJ46" s="206"/>
      <c r="CK46" s="18"/>
      <c r="CL46" s="206"/>
      <c r="CM46" s="206"/>
    </row>
    <row r="47" spans="1:91" ht="8" customHeight="1" x14ac:dyDescent="0.3">
      <c r="B47" s="205"/>
      <c r="C47" s="205"/>
      <c r="D47" s="205"/>
      <c r="E47" s="205"/>
      <c r="F47" s="205"/>
      <c r="G47" s="205"/>
      <c r="H47" s="205"/>
      <c r="I47" s="199"/>
      <c r="J47" s="205"/>
      <c r="K47" s="205"/>
      <c r="L47" s="205"/>
      <c r="M47" s="205"/>
      <c r="N47" s="205"/>
      <c r="O47" s="205"/>
      <c r="P47" s="205"/>
      <c r="Q47" s="205"/>
      <c r="R47" s="205"/>
      <c r="S47" s="205"/>
      <c r="T47" s="205"/>
      <c r="U47" s="205"/>
      <c r="V47" s="205"/>
      <c r="W47" s="205"/>
      <c r="X47" s="205"/>
      <c r="Y47" s="205"/>
      <c r="Z47" s="205"/>
      <c r="AA47" s="205"/>
      <c r="AB47" s="205"/>
      <c r="AC47" s="204"/>
      <c r="AD47" s="204"/>
      <c r="AE47" s="204"/>
      <c r="AF47" s="204"/>
      <c r="AG47" s="204"/>
      <c r="AH47" s="204"/>
      <c r="AI47" s="204"/>
      <c r="AJ47" s="204"/>
      <c r="AK47" s="204"/>
      <c r="AL47" s="204"/>
      <c r="AM47" s="204"/>
      <c r="AN47" s="204"/>
      <c r="AO47" s="204"/>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row>
    <row r="48" spans="1:91" x14ac:dyDescent="0.3">
      <c r="A48" s="1262" t="s">
        <v>350</v>
      </c>
      <c r="B48" s="1262"/>
      <c r="C48" s="1262"/>
      <c r="D48" s="1262"/>
      <c r="E48" s="1262"/>
      <c r="F48" s="1262"/>
      <c r="G48" s="1262"/>
      <c r="H48" s="1262"/>
      <c r="I48" s="1262"/>
      <c r="J48" s="1262"/>
      <c r="K48" s="1262"/>
      <c r="L48" s="1262"/>
      <c r="M48" s="1262"/>
      <c r="N48" s="1262"/>
      <c r="O48" s="1262"/>
      <c r="P48" s="1262"/>
      <c r="Q48" s="1262"/>
      <c r="R48" s="1262"/>
      <c r="S48" s="1262"/>
      <c r="T48" s="1262"/>
      <c r="U48" s="1262"/>
      <c r="V48" s="1262"/>
      <c r="W48" s="1262"/>
      <c r="X48" s="1262"/>
      <c r="Y48" s="1262"/>
      <c r="Z48" s="1262"/>
      <c r="AA48" s="1262"/>
      <c r="AB48" s="1262"/>
      <c r="AC48" s="1262"/>
      <c r="AD48" s="1262"/>
      <c r="AE48" s="1262"/>
      <c r="AF48" s="1262"/>
      <c r="AG48" s="1262"/>
      <c r="AH48" s="1262"/>
      <c r="AI48" s="1262"/>
      <c r="AJ48" s="1262"/>
      <c r="AK48" s="1262"/>
      <c r="AL48" s="1262"/>
      <c r="AM48" s="1262"/>
      <c r="AN48" s="1262"/>
      <c r="AO48" s="1262"/>
      <c r="AP48" s="1262"/>
      <c r="AQ48" s="1262"/>
      <c r="AR48" s="1262"/>
      <c r="AS48" s="1262"/>
      <c r="AT48" s="1262"/>
      <c r="AU48" s="1262"/>
      <c r="AV48" s="1262"/>
      <c r="AW48" s="1262"/>
      <c r="AX48" s="1262"/>
      <c r="AY48" s="1262"/>
      <c r="AZ48" s="1262"/>
      <c r="BA48" s="1262"/>
      <c r="BB48" s="1262"/>
      <c r="BC48" s="1262"/>
      <c r="BD48" s="1262"/>
      <c r="BE48" s="1262"/>
      <c r="BF48" s="1262"/>
      <c r="BG48" s="1262"/>
      <c r="BH48" s="1262"/>
      <c r="BI48" s="1262"/>
      <c r="BJ48" s="1262"/>
      <c r="BK48" s="1262"/>
      <c r="BL48" s="1262"/>
      <c r="BM48" s="1262"/>
      <c r="BN48" s="1262"/>
      <c r="BO48" s="1262"/>
      <c r="BP48" s="1262"/>
      <c r="BQ48" s="1262"/>
      <c r="BR48" s="1262"/>
      <c r="BS48" s="1262"/>
      <c r="BT48" s="1262"/>
      <c r="BU48" s="1262"/>
      <c r="BV48" s="1262"/>
      <c r="BW48" s="1262"/>
      <c r="BX48" s="1262"/>
      <c r="BY48" s="1262"/>
      <c r="BZ48" s="1262"/>
      <c r="CA48" s="1262"/>
      <c r="CB48" s="1262"/>
      <c r="CC48" s="1262"/>
      <c r="CD48" s="1262"/>
      <c r="CE48" s="1262"/>
      <c r="CF48" s="1262"/>
      <c r="CG48" s="1262"/>
      <c r="CH48" s="1262"/>
      <c r="CI48" s="1262"/>
      <c r="CJ48" s="1262"/>
      <c r="CK48" s="1262"/>
      <c r="CL48" s="1262"/>
      <c r="CM48" s="1262"/>
    </row>
    <row r="49" spans="1:91" x14ac:dyDescent="0.3">
      <c r="A49" s="1262" t="s">
        <v>1002</v>
      </c>
      <c r="B49" s="1262"/>
      <c r="C49" s="1262"/>
      <c r="D49" s="1262"/>
      <c r="E49" s="1262"/>
      <c r="F49" s="1262"/>
      <c r="G49" s="1262"/>
      <c r="H49" s="1262"/>
      <c r="I49" s="1262"/>
      <c r="J49" s="1262"/>
      <c r="K49" s="1262"/>
      <c r="L49" s="1262"/>
      <c r="M49" s="1262"/>
      <c r="N49" s="1262"/>
      <c r="O49" s="1262"/>
      <c r="P49" s="1262"/>
      <c r="Q49" s="1262"/>
      <c r="R49" s="1262"/>
      <c r="S49" s="1262"/>
      <c r="T49" s="1262"/>
      <c r="U49" s="1262"/>
      <c r="V49" s="1262"/>
      <c r="W49" s="1262"/>
      <c r="X49" s="1262"/>
      <c r="Y49" s="1262"/>
      <c r="Z49" s="1262"/>
      <c r="AA49" s="1262"/>
      <c r="AB49" s="1262"/>
      <c r="AC49" s="1262"/>
      <c r="AD49" s="1262"/>
      <c r="AE49" s="1262"/>
      <c r="AF49" s="1262"/>
      <c r="AG49" s="1262"/>
      <c r="AH49" s="1262"/>
      <c r="AI49" s="1262"/>
      <c r="AJ49" s="1262"/>
      <c r="AK49" s="1262"/>
      <c r="AL49" s="1262"/>
      <c r="AM49" s="1262"/>
      <c r="AN49" s="1262"/>
      <c r="AO49" s="1262"/>
      <c r="AP49" s="1262"/>
      <c r="AQ49" s="1262"/>
      <c r="AR49" s="1262"/>
      <c r="AS49" s="1262"/>
      <c r="AT49" s="1262"/>
      <c r="AU49" s="1262"/>
      <c r="AV49" s="1262"/>
      <c r="AW49" s="1262"/>
      <c r="AX49" s="1262"/>
      <c r="AY49" s="1262"/>
      <c r="AZ49" s="1262"/>
      <c r="BA49" s="1262"/>
      <c r="BB49" s="1262"/>
      <c r="BC49" s="1262"/>
      <c r="BD49" s="1262"/>
      <c r="BE49" s="1262"/>
      <c r="BF49" s="1262"/>
      <c r="BG49" s="1262"/>
      <c r="BH49" s="1262"/>
      <c r="BI49" s="1262"/>
      <c r="BJ49" s="1262"/>
      <c r="BK49" s="1262"/>
      <c r="BL49" s="1262"/>
      <c r="BM49" s="1262"/>
      <c r="BN49" s="1262"/>
      <c r="BO49" s="1262"/>
      <c r="BP49" s="1262"/>
      <c r="BQ49" s="1262"/>
      <c r="BR49" s="1262"/>
      <c r="BS49" s="1262"/>
      <c r="BT49" s="1262"/>
      <c r="BU49" s="1262"/>
      <c r="BV49" s="1262"/>
      <c r="BW49" s="1262"/>
      <c r="BX49" s="1262"/>
      <c r="BY49" s="1262"/>
      <c r="BZ49" s="1262"/>
      <c r="CA49" s="1262"/>
      <c r="CB49" s="1262"/>
      <c r="CC49" s="1262"/>
      <c r="CD49" s="1262"/>
      <c r="CE49" s="1262"/>
      <c r="CF49" s="1262"/>
      <c r="CG49" s="1262"/>
      <c r="CH49" s="1262"/>
      <c r="CI49" s="1262"/>
      <c r="CJ49" s="1262"/>
      <c r="CK49" s="1262"/>
      <c r="CL49" s="1262"/>
      <c r="CM49" s="1262"/>
    </row>
    <row r="50" spans="1:91" x14ac:dyDescent="0.3">
      <c r="A50" s="1262" t="s">
        <v>349</v>
      </c>
      <c r="B50" s="1262"/>
      <c r="C50" s="1262"/>
      <c r="D50" s="1262"/>
      <c r="E50" s="1262"/>
      <c r="F50" s="1262"/>
      <c r="G50" s="1262"/>
      <c r="H50" s="1262"/>
      <c r="I50" s="1262"/>
      <c r="J50" s="1262"/>
      <c r="K50" s="1262"/>
      <c r="L50" s="1262"/>
      <c r="M50" s="1262"/>
      <c r="N50" s="1262"/>
      <c r="O50" s="1262"/>
      <c r="P50" s="1262"/>
      <c r="Q50" s="1262"/>
      <c r="R50" s="1262"/>
      <c r="S50" s="1262"/>
      <c r="T50" s="1262"/>
      <c r="U50" s="1262"/>
      <c r="V50" s="1262"/>
      <c r="W50" s="1262"/>
      <c r="X50" s="1262"/>
      <c r="Y50" s="1262"/>
      <c r="Z50" s="1262"/>
      <c r="AA50" s="1262"/>
      <c r="AB50" s="1262"/>
      <c r="AC50" s="1262"/>
      <c r="AD50" s="1262"/>
      <c r="AE50" s="1262"/>
      <c r="AF50" s="1262"/>
      <c r="AG50" s="1262"/>
      <c r="AH50" s="1262"/>
      <c r="AI50" s="1262"/>
      <c r="AJ50" s="1262"/>
      <c r="AK50" s="1262"/>
      <c r="AL50" s="1262"/>
      <c r="AM50" s="1262"/>
      <c r="AN50" s="1262"/>
      <c r="AO50" s="1262"/>
      <c r="AP50" s="1262"/>
      <c r="AQ50" s="1262"/>
      <c r="AR50" s="1262"/>
      <c r="AS50" s="1262"/>
      <c r="AT50" s="1262"/>
      <c r="AU50" s="1262"/>
      <c r="AV50" s="1262"/>
      <c r="AW50" s="1262"/>
      <c r="AX50" s="1262"/>
      <c r="AY50" s="1262"/>
      <c r="AZ50" s="1262"/>
      <c r="BA50" s="1262"/>
      <c r="BB50" s="1262"/>
      <c r="BC50" s="1262"/>
      <c r="BD50" s="1262"/>
      <c r="BE50" s="1262"/>
      <c r="BF50" s="1262"/>
      <c r="BG50" s="1262"/>
      <c r="BH50" s="1262"/>
      <c r="BI50" s="1262"/>
      <c r="BJ50" s="1262"/>
      <c r="BK50" s="1262"/>
      <c r="BL50" s="1262"/>
      <c r="BM50" s="1262"/>
      <c r="BN50" s="1262"/>
      <c r="BO50" s="1262"/>
      <c r="BP50" s="1262"/>
      <c r="BQ50" s="1262"/>
      <c r="BR50" s="1262"/>
      <c r="BS50" s="1262"/>
      <c r="BT50" s="1262"/>
      <c r="BU50" s="1262"/>
      <c r="BV50" s="1262"/>
      <c r="BW50" s="1262"/>
      <c r="BX50" s="1262"/>
      <c r="BY50" s="1262"/>
      <c r="BZ50" s="1262"/>
      <c r="CA50" s="1262"/>
      <c r="CB50" s="1262"/>
      <c r="CC50" s="1262"/>
      <c r="CD50" s="1262"/>
      <c r="CE50" s="1262"/>
      <c r="CF50" s="1262"/>
      <c r="CG50" s="1262"/>
      <c r="CH50" s="1262"/>
      <c r="CI50" s="1262"/>
      <c r="CJ50" s="1262"/>
      <c r="CK50" s="1262"/>
      <c r="CL50" s="1262"/>
      <c r="CM50" s="1262"/>
    </row>
    <row r="51" spans="1:91" x14ac:dyDescent="0.3">
      <c r="A51" s="1262" t="s">
        <v>348</v>
      </c>
      <c r="B51" s="1262"/>
      <c r="C51" s="1262"/>
      <c r="D51" s="1262"/>
      <c r="E51" s="1262"/>
      <c r="F51" s="1262"/>
      <c r="G51" s="1262"/>
      <c r="H51" s="1262"/>
      <c r="I51" s="1262"/>
      <c r="J51" s="1262"/>
      <c r="K51" s="1262"/>
      <c r="L51" s="1262"/>
      <c r="M51" s="1262"/>
      <c r="N51" s="1262"/>
      <c r="O51" s="1262"/>
      <c r="P51" s="1262"/>
      <c r="Q51" s="1262"/>
      <c r="R51" s="1262"/>
      <c r="S51" s="1262"/>
      <c r="T51" s="1262"/>
      <c r="U51" s="1262"/>
      <c r="V51" s="1262"/>
      <c r="W51" s="1262"/>
      <c r="X51" s="1262"/>
      <c r="Y51" s="1262"/>
      <c r="Z51" s="1262"/>
      <c r="AA51" s="1262"/>
      <c r="AB51" s="1262"/>
      <c r="AC51" s="1262"/>
      <c r="AD51" s="1262"/>
      <c r="AE51" s="1262"/>
      <c r="AF51" s="1262"/>
      <c r="AG51" s="1262"/>
      <c r="AH51" s="1262"/>
      <c r="AI51" s="1262"/>
      <c r="AJ51" s="1262"/>
      <c r="AK51" s="1262"/>
      <c r="AL51" s="1262"/>
      <c r="AM51" s="1262"/>
      <c r="AN51" s="1262"/>
      <c r="AO51" s="1262"/>
      <c r="AP51" s="1262"/>
      <c r="AQ51" s="1262"/>
      <c r="AR51" s="1262"/>
      <c r="AS51" s="1262"/>
      <c r="AT51" s="1262"/>
      <c r="AU51" s="1262"/>
      <c r="AV51" s="1262"/>
      <c r="AW51" s="1262"/>
      <c r="AX51" s="1262"/>
      <c r="AY51" s="1262"/>
      <c r="AZ51" s="1262"/>
      <c r="BA51" s="1262"/>
      <c r="BB51" s="1262"/>
      <c r="BC51" s="1262"/>
      <c r="BD51" s="1262"/>
      <c r="BE51" s="1262"/>
      <c r="BF51" s="1262"/>
      <c r="BG51" s="1262"/>
      <c r="BH51" s="1262"/>
      <c r="BI51" s="1262"/>
      <c r="BJ51" s="1262"/>
      <c r="BK51" s="1262"/>
      <c r="BL51" s="1262"/>
      <c r="BM51" s="1262"/>
      <c r="BN51" s="1262"/>
      <c r="BO51" s="1262"/>
      <c r="BP51" s="1262"/>
      <c r="BQ51" s="1262"/>
      <c r="BR51" s="1262"/>
      <c r="BS51" s="1262"/>
      <c r="BT51" s="1262"/>
      <c r="BU51" s="1262"/>
      <c r="BV51" s="1262"/>
      <c r="BW51" s="1262"/>
      <c r="BX51" s="1262"/>
      <c r="BY51" s="1262"/>
      <c r="BZ51" s="1262"/>
      <c r="CA51" s="1262"/>
      <c r="CB51" s="1262"/>
      <c r="CC51" s="1262"/>
      <c r="CD51" s="1262"/>
      <c r="CE51" s="1262"/>
      <c r="CF51" s="1262"/>
      <c r="CG51" s="1262"/>
      <c r="CH51" s="1262"/>
      <c r="CI51" s="1262"/>
      <c r="CJ51" s="1262"/>
      <c r="CK51" s="1262"/>
      <c r="CL51" s="1262"/>
      <c r="CM51" s="1262"/>
    </row>
    <row r="52" spans="1:91" ht="12.75" customHeight="1" x14ac:dyDescent="0.3">
      <c r="A52" s="1262" t="s">
        <v>347</v>
      </c>
      <c r="B52" s="1262"/>
      <c r="C52" s="1262"/>
      <c r="D52" s="1262"/>
      <c r="E52" s="1262"/>
      <c r="F52" s="1262"/>
      <c r="G52" s="1262"/>
      <c r="H52" s="1262"/>
      <c r="I52" s="1262"/>
      <c r="J52" s="1262"/>
      <c r="K52" s="1262"/>
      <c r="L52" s="1262"/>
      <c r="M52" s="1262"/>
      <c r="N52" s="1262"/>
      <c r="O52" s="1262"/>
      <c r="P52" s="1262"/>
      <c r="Q52" s="1262"/>
      <c r="R52" s="1262"/>
      <c r="S52" s="1262"/>
      <c r="T52" s="1262"/>
      <c r="U52" s="1262"/>
      <c r="V52" s="1262"/>
      <c r="W52" s="1262"/>
      <c r="X52" s="1262"/>
      <c r="Y52" s="1262"/>
      <c r="Z52" s="1262"/>
      <c r="AA52" s="1262"/>
      <c r="AB52" s="1262"/>
      <c r="AC52" s="1262"/>
      <c r="AD52" s="1262"/>
      <c r="AE52" s="1262"/>
      <c r="AF52" s="1262"/>
      <c r="AG52" s="1262"/>
      <c r="AH52" s="1262"/>
      <c r="AI52" s="1262"/>
      <c r="AJ52" s="1262"/>
      <c r="AK52" s="1262"/>
      <c r="AL52" s="1262"/>
      <c r="AM52" s="1262"/>
      <c r="AN52" s="1262"/>
      <c r="AO52" s="1262"/>
      <c r="AP52" s="1262"/>
      <c r="AQ52" s="1262"/>
      <c r="AR52" s="1262"/>
      <c r="AS52" s="1262"/>
      <c r="AT52" s="1262"/>
      <c r="AU52" s="1262"/>
      <c r="AV52" s="1262"/>
      <c r="AW52" s="1262"/>
      <c r="AX52" s="1262"/>
      <c r="AY52" s="1262"/>
      <c r="AZ52" s="1262"/>
      <c r="BA52" s="1262"/>
      <c r="BB52" s="1262"/>
      <c r="BC52" s="1262"/>
      <c r="BD52" s="1262"/>
      <c r="BE52" s="1262"/>
      <c r="BF52" s="1262"/>
      <c r="BG52" s="1262"/>
      <c r="BH52" s="1262"/>
      <c r="BI52" s="1262"/>
      <c r="BJ52" s="1262"/>
      <c r="BK52" s="1262"/>
      <c r="BL52" s="1262"/>
      <c r="BM52" s="1262"/>
      <c r="BN52" s="1262"/>
      <c r="BO52" s="1262"/>
      <c r="BP52" s="1262"/>
      <c r="BQ52" s="1262"/>
      <c r="BR52" s="1262"/>
      <c r="BS52" s="1262"/>
      <c r="BT52" s="1262"/>
      <c r="BU52" s="1262"/>
      <c r="BV52" s="1262"/>
      <c r="BW52" s="1262"/>
      <c r="BX52" s="1262"/>
      <c r="BY52" s="1262"/>
      <c r="BZ52" s="1262"/>
      <c r="CA52" s="1262"/>
      <c r="CB52" s="1262"/>
      <c r="CC52" s="1262"/>
      <c r="CD52" s="1262"/>
      <c r="CE52" s="1262"/>
      <c r="CF52" s="1262"/>
      <c r="CG52" s="1262"/>
      <c r="CH52" s="1262"/>
      <c r="CI52" s="1262"/>
      <c r="CJ52" s="1262"/>
      <c r="CK52" s="1262"/>
      <c r="CL52" s="1262"/>
      <c r="CM52" s="1262"/>
    </row>
    <row r="53" spans="1:91" x14ac:dyDescent="0.3">
      <c r="A53" s="1262" t="s">
        <v>346</v>
      </c>
      <c r="B53" s="1262"/>
      <c r="C53" s="1262"/>
      <c r="D53" s="1262"/>
      <c r="E53" s="1262"/>
      <c r="F53" s="1262"/>
      <c r="G53" s="1262"/>
      <c r="H53" s="1262"/>
      <c r="I53" s="1262"/>
      <c r="J53" s="1262"/>
      <c r="K53" s="1262"/>
      <c r="L53" s="1262"/>
      <c r="M53" s="1262"/>
      <c r="N53" s="1262"/>
      <c r="O53" s="1262"/>
      <c r="P53" s="1262"/>
      <c r="Q53" s="1262"/>
      <c r="R53" s="1262"/>
      <c r="S53" s="1262"/>
      <c r="T53" s="1262"/>
      <c r="U53" s="1262"/>
      <c r="V53" s="1262"/>
      <c r="W53" s="1262"/>
      <c r="X53" s="1262"/>
      <c r="Y53" s="1262"/>
      <c r="Z53" s="1262"/>
      <c r="AA53" s="1262"/>
      <c r="AB53" s="1262"/>
      <c r="AC53" s="1262"/>
      <c r="AD53" s="1262"/>
      <c r="AE53" s="1262"/>
      <c r="AF53" s="1262"/>
      <c r="AG53" s="1262"/>
      <c r="AH53" s="1262"/>
      <c r="AI53" s="1262"/>
      <c r="AJ53" s="1262"/>
      <c r="AK53" s="1262"/>
      <c r="AL53" s="1262"/>
      <c r="AM53" s="1262"/>
      <c r="AN53" s="1262"/>
      <c r="AO53" s="1262"/>
      <c r="AP53" s="1262"/>
      <c r="AQ53" s="1262"/>
      <c r="AR53" s="1262"/>
      <c r="AS53" s="1262"/>
      <c r="AT53" s="1262"/>
      <c r="AU53" s="1262"/>
      <c r="AV53" s="1262"/>
      <c r="AW53" s="1262"/>
      <c r="AX53" s="1262"/>
      <c r="AY53" s="1262"/>
      <c r="AZ53" s="1262"/>
      <c r="BA53" s="1262"/>
      <c r="BB53" s="1262"/>
      <c r="BC53" s="1262"/>
      <c r="BD53" s="1262"/>
      <c r="BE53" s="1262"/>
      <c r="BF53" s="1262"/>
      <c r="BG53" s="1262"/>
      <c r="BH53" s="1262"/>
      <c r="BI53" s="1262"/>
      <c r="BJ53" s="1262"/>
      <c r="BK53" s="1262"/>
      <c r="BL53" s="1262"/>
      <c r="BM53" s="1262"/>
      <c r="BN53" s="1262"/>
      <c r="BO53" s="1262"/>
      <c r="BP53" s="1262"/>
      <c r="BQ53" s="1262"/>
      <c r="BR53" s="1262"/>
      <c r="BS53" s="1262"/>
      <c r="BT53" s="1262"/>
      <c r="BU53" s="1262"/>
      <c r="BV53" s="1262"/>
      <c r="BW53" s="1262"/>
      <c r="BX53" s="1262"/>
      <c r="BY53" s="1262"/>
      <c r="BZ53" s="1262"/>
      <c r="CA53" s="1262"/>
      <c r="CB53" s="1262"/>
      <c r="CC53" s="1262"/>
      <c r="CD53" s="1262"/>
      <c r="CE53" s="1262"/>
      <c r="CF53" s="1262"/>
      <c r="CG53" s="1262"/>
      <c r="CH53" s="1262"/>
      <c r="CI53" s="1262"/>
      <c r="CJ53" s="1262"/>
      <c r="CK53" s="1262"/>
      <c r="CL53" s="1262"/>
      <c r="CM53" s="1262"/>
    </row>
    <row r="54" spans="1:91" x14ac:dyDescent="0.3">
      <c r="A54" s="203"/>
      <c r="B54" s="199"/>
      <c r="C54" s="199"/>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H54" s="199"/>
    </row>
    <row r="55" spans="1:91" x14ac:dyDescent="0.3">
      <c r="B55" s="199"/>
      <c r="C55" s="199"/>
      <c r="D55" s="199"/>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H55" s="199"/>
    </row>
    <row r="56" spans="1:91" x14ac:dyDescent="0.3">
      <c r="B56" s="199"/>
      <c r="C56" s="199"/>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H56" s="199"/>
      <c r="AK56" s="202"/>
      <c r="AL56" s="202"/>
      <c r="AM56" s="202"/>
      <c r="AN56" s="202"/>
      <c r="AO56" s="202"/>
      <c r="AP56" s="202"/>
      <c r="AQ56" s="202"/>
      <c r="AR56" s="202"/>
      <c r="AS56" s="202"/>
      <c r="AU56" s="202"/>
      <c r="AV56" s="202"/>
      <c r="AW56" s="202"/>
      <c r="AX56" s="202"/>
    </row>
    <row r="57" spans="1:91" ht="14" x14ac:dyDescent="0.3">
      <c r="AK57" s="201"/>
      <c r="AL57" s="201"/>
      <c r="AM57" s="201"/>
      <c r="AN57" s="201"/>
      <c r="AO57" s="201"/>
      <c r="AP57" s="200"/>
      <c r="AQ57" s="200"/>
      <c r="AR57" s="200"/>
      <c r="AS57" s="200"/>
      <c r="AU57" s="200"/>
      <c r="AV57" s="200"/>
      <c r="AW57" s="200"/>
      <c r="AX57" s="200"/>
    </row>
  </sheetData>
  <mergeCells count="8">
    <mergeCell ref="A51:CM51"/>
    <mergeCell ref="A52:CM52"/>
    <mergeCell ref="A53:CM53"/>
    <mergeCell ref="A2:AU2"/>
    <mergeCell ref="A1:CM1"/>
    <mergeCell ref="A48:CM48"/>
    <mergeCell ref="A49:CM49"/>
    <mergeCell ref="A50:CM50"/>
  </mergeCells>
  <pageMargins left="0.51181102362204722" right="0.27559055118110237" top="0.51181102362204722" bottom="0.35433070866141736" header="0.31496062992125984" footer="0.1968503937007874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T26"/>
  <sheetViews>
    <sheetView zoomScale="110" zoomScaleNormal="110" workbookViewId="0">
      <pane xSplit="1" ySplit="4" topLeftCell="B5" activePane="bottomRight" state="frozen"/>
      <selection pane="topRight" activeCell="B1" sqref="B1"/>
      <selection pane="bottomLeft" activeCell="A5" sqref="A5"/>
      <selection pane="bottomRight" activeCell="BS18" sqref="BS18"/>
    </sheetView>
  </sheetViews>
  <sheetFormatPr defaultColWidth="9.08984375" defaultRowHeight="13" x14ac:dyDescent="0.3"/>
  <cols>
    <col min="1" max="1" width="46" style="1" customWidth="1"/>
    <col min="2" max="5" width="9.08984375" style="1" hidden="1" customWidth="1"/>
    <col min="6" max="6" width="8.08984375" style="1" hidden="1" customWidth="1"/>
    <col min="7" max="10" width="9.08984375" style="1" hidden="1" customWidth="1"/>
    <col min="11" max="13" width="9.08984375" style="2" hidden="1" customWidth="1"/>
    <col min="14" max="15" width="9.08984375" style="1" hidden="1" customWidth="1"/>
    <col min="16" max="16" width="9.08984375" style="2" hidden="1" customWidth="1"/>
    <col min="17" max="17" width="8.453125" style="2" hidden="1" customWidth="1"/>
    <col min="18" max="18" width="10.453125" style="2" hidden="1" customWidth="1"/>
    <col min="19" max="19" width="8.90625" style="2" hidden="1" customWidth="1"/>
    <col min="20" max="20" width="9.6328125" style="2" hidden="1" customWidth="1"/>
    <col min="21" max="22" width="9.36328125" style="2" hidden="1" customWidth="1"/>
    <col min="23" max="23" width="9.6328125" style="2" hidden="1" customWidth="1"/>
    <col min="24" max="24" width="9.453125" style="1" hidden="1" customWidth="1"/>
    <col min="25" max="35" width="9.08984375" style="1" hidden="1" customWidth="1"/>
    <col min="36" max="42" width="8.453125" style="1" hidden="1" customWidth="1"/>
    <col min="43" max="64" width="9.08984375" style="1" hidden="1" customWidth="1"/>
    <col min="65" max="65" width="10" style="1" hidden="1" customWidth="1"/>
    <col min="66" max="66" width="11.36328125" style="1" hidden="1" customWidth="1"/>
    <col min="67" max="67" width="11.453125" style="1" hidden="1" customWidth="1"/>
    <col min="68" max="68" width="12.453125" style="1" hidden="1" customWidth="1"/>
    <col min="69" max="69" width="12.08984375" style="1" hidden="1" customWidth="1"/>
    <col min="70" max="72" width="12.08984375" style="1" customWidth="1"/>
    <col min="73" max="16384" width="9.08984375" style="1"/>
  </cols>
  <sheetData>
    <row r="1" spans="1:72" ht="34.25" customHeight="1" x14ac:dyDescent="0.3">
      <c r="A1" s="1264" t="s">
        <v>438</v>
      </c>
      <c r="B1" s="1264"/>
      <c r="C1" s="1264"/>
      <c r="D1" s="1264"/>
      <c r="E1" s="1264"/>
      <c r="F1" s="1264"/>
      <c r="G1" s="1264"/>
      <c r="H1" s="1264"/>
      <c r="I1" s="1264"/>
      <c r="J1" s="1264"/>
      <c r="K1" s="1264"/>
      <c r="L1" s="1264"/>
      <c r="M1" s="1264"/>
      <c r="N1" s="1264"/>
      <c r="O1" s="1264"/>
      <c r="P1" s="1264"/>
      <c r="Q1" s="1264"/>
      <c r="R1" s="1264"/>
      <c r="S1" s="1264"/>
      <c r="T1" s="1264"/>
      <c r="U1" s="1264"/>
      <c r="V1" s="1264"/>
      <c r="W1" s="1264"/>
      <c r="X1" s="1264"/>
      <c r="Y1" s="1264"/>
      <c r="Z1" s="1264"/>
      <c r="AA1" s="1264"/>
      <c r="AB1" s="1264"/>
      <c r="AC1" s="1264"/>
      <c r="AD1" s="1264"/>
      <c r="AE1" s="1264"/>
      <c r="AF1" s="1264"/>
      <c r="AG1" s="1264"/>
      <c r="AH1" s="1264"/>
      <c r="AI1" s="1264"/>
      <c r="AJ1" s="1264"/>
      <c r="AK1" s="1264"/>
      <c r="AL1" s="1264"/>
      <c r="AM1" s="1264"/>
      <c r="AN1" s="1264"/>
      <c r="AO1" s="1264"/>
      <c r="AP1" s="1264"/>
      <c r="AQ1" s="1264"/>
      <c r="AR1" s="1264"/>
      <c r="AS1" s="1264"/>
      <c r="AT1" s="1264"/>
      <c r="AU1" s="1264"/>
      <c r="AV1" s="1264"/>
      <c r="AW1" s="1264"/>
      <c r="AX1" s="1264"/>
      <c r="AY1" s="1264"/>
      <c r="AZ1" s="1264"/>
      <c r="BA1" s="1264"/>
      <c r="BB1" s="1264"/>
      <c r="BC1" s="1264"/>
      <c r="BD1" s="1264"/>
      <c r="BE1" s="1264"/>
      <c r="BF1" s="1264"/>
      <c r="BG1" s="1264"/>
      <c r="BH1" s="1264"/>
      <c r="BI1" s="1264"/>
      <c r="BJ1" s="1264"/>
      <c r="BK1" s="1264"/>
      <c r="BL1" s="1264"/>
      <c r="BM1" s="1264"/>
      <c r="BN1" s="1264"/>
      <c r="BO1" s="1264"/>
      <c r="BP1" s="1264"/>
      <c r="BQ1" s="1264"/>
      <c r="BR1" s="1264"/>
      <c r="BS1" s="1264"/>
      <c r="BT1" s="1264"/>
    </row>
    <row r="2" spans="1:72" ht="16.5" customHeight="1" x14ac:dyDescent="0.3">
      <c r="A2" s="296" t="s">
        <v>437</v>
      </c>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row>
    <row r="3" spans="1:72" ht="15" customHeight="1" x14ac:dyDescent="0.3">
      <c r="BO3" s="199"/>
      <c r="BP3" s="199"/>
      <c r="BQ3" s="199"/>
      <c r="BR3" s="199"/>
      <c r="BS3" s="973"/>
      <c r="BT3" s="973" t="s">
        <v>144</v>
      </c>
    </row>
    <row r="4" spans="1:72" ht="15" x14ac:dyDescent="0.3">
      <c r="A4" s="294" t="s">
        <v>423</v>
      </c>
      <c r="B4" s="293">
        <v>39692</v>
      </c>
      <c r="C4" s="293">
        <v>39783</v>
      </c>
      <c r="D4" s="293">
        <v>39903</v>
      </c>
      <c r="E4" s="293">
        <v>39994</v>
      </c>
      <c r="F4" s="293">
        <v>40086</v>
      </c>
      <c r="G4" s="293">
        <v>40177</v>
      </c>
      <c r="H4" s="293">
        <v>40268</v>
      </c>
      <c r="I4" s="293">
        <v>40359</v>
      </c>
      <c r="J4" s="293">
        <v>40451</v>
      </c>
      <c r="K4" s="293">
        <v>40542</v>
      </c>
      <c r="L4" s="293">
        <v>40633</v>
      </c>
      <c r="M4" s="293">
        <v>40724</v>
      </c>
      <c r="N4" s="293">
        <v>40797</v>
      </c>
      <c r="O4" s="293">
        <v>40907</v>
      </c>
      <c r="P4" s="293">
        <v>40999</v>
      </c>
      <c r="Q4" s="293">
        <v>41090</v>
      </c>
      <c r="R4" s="293">
        <v>41164</v>
      </c>
      <c r="S4" s="293">
        <v>41255</v>
      </c>
      <c r="T4" s="293">
        <v>41364</v>
      </c>
      <c r="U4" s="293">
        <v>41455</v>
      </c>
      <c r="V4" s="293">
        <v>41547</v>
      </c>
      <c r="W4" s="293">
        <v>41639</v>
      </c>
      <c r="X4" s="293">
        <v>41729</v>
      </c>
      <c r="Y4" s="293">
        <v>41820</v>
      </c>
      <c r="Z4" s="293">
        <v>41912</v>
      </c>
      <c r="AA4" s="293">
        <v>42004</v>
      </c>
      <c r="AB4" s="293">
        <v>42094</v>
      </c>
      <c r="AC4" s="293">
        <v>42185</v>
      </c>
      <c r="AD4" s="292" t="s">
        <v>436</v>
      </c>
      <c r="AE4" s="292" t="s">
        <v>419</v>
      </c>
      <c r="AF4" s="292" t="s">
        <v>418</v>
      </c>
      <c r="AG4" s="292" t="s">
        <v>417</v>
      </c>
      <c r="AH4" s="292" t="s">
        <v>416</v>
      </c>
      <c r="AI4" s="292" t="s">
        <v>415</v>
      </c>
      <c r="AJ4" s="292" t="s">
        <v>414</v>
      </c>
      <c r="AK4" s="292" t="s">
        <v>413</v>
      </c>
      <c r="AL4" s="292" t="s">
        <v>412</v>
      </c>
      <c r="AM4" s="292" t="s">
        <v>411</v>
      </c>
      <c r="AN4" s="292" t="s">
        <v>410</v>
      </c>
      <c r="AO4" s="292" t="s">
        <v>409</v>
      </c>
      <c r="AP4" s="292" t="s">
        <v>408</v>
      </c>
      <c r="AQ4" s="292" t="s">
        <v>407</v>
      </c>
      <c r="AR4" s="292" t="s">
        <v>406</v>
      </c>
      <c r="AS4" s="292" t="s">
        <v>405</v>
      </c>
      <c r="AT4" s="292" t="s">
        <v>404</v>
      </c>
      <c r="AU4" s="292" t="s">
        <v>403</v>
      </c>
      <c r="AV4" s="292" t="s">
        <v>402</v>
      </c>
      <c r="AW4" s="292" t="s">
        <v>401</v>
      </c>
      <c r="AX4" s="292" t="s">
        <v>400</v>
      </c>
      <c r="AY4" s="292" t="s">
        <v>399</v>
      </c>
      <c r="AZ4" s="292" t="s">
        <v>398</v>
      </c>
      <c r="BA4" s="292" t="s">
        <v>397</v>
      </c>
      <c r="BB4" s="292" t="s">
        <v>396</v>
      </c>
      <c r="BC4" s="292" t="s">
        <v>395</v>
      </c>
      <c r="BD4" s="292" t="s">
        <v>394</v>
      </c>
      <c r="BE4" s="292" t="s">
        <v>393</v>
      </c>
      <c r="BF4" s="292" t="s">
        <v>392</v>
      </c>
      <c r="BG4" s="292" t="s">
        <v>391</v>
      </c>
      <c r="BH4" s="292" t="s">
        <v>390</v>
      </c>
      <c r="BI4" s="292" t="s">
        <v>389</v>
      </c>
      <c r="BJ4" s="292" t="s">
        <v>388</v>
      </c>
      <c r="BK4" s="292" t="s">
        <v>387</v>
      </c>
      <c r="BL4" s="292" t="s">
        <v>386</v>
      </c>
      <c r="BM4" s="292" t="s">
        <v>385</v>
      </c>
      <c r="BN4" s="292" t="s">
        <v>384</v>
      </c>
      <c r="BO4" s="292" t="s">
        <v>435</v>
      </c>
      <c r="BP4" s="292" t="s">
        <v>434</v>
      </c>
      <c r="BQ4" s="292" t="s">
        <v>433</v>
      </c>
      <c r="BR4" s="292" t="s">
        <v>432</v>
      </c>
      <c r="BS4" s="292" t="s">
        <v>801</v>
      </c>
      <c r="BT4" s="292" t="s">
        <v>897</v>
      </c>
    </row>
    <row r="5" spans="1:72" ht="15.5" x14ac:dyDescent="0.3">
      <c r="A5" s="272"/>
      <c r="B5" s="269"/>
      <c r="C5" s="269"/>
      <c r="D5" s="269"/>
      <c r="E5" s="269"/>
      <c r="F5" s="269"/>
      <c r="G5" s="269"/>
      <c r="H5" s="291"/>
      <c r="I5" s="291"/>
      <c r="J5" s="291"/>
      <c r="K5" s="291"/>
      <c r="L5" s="291"/>
      <c r="M5" s="291"/>
      <c r="N5" s="60"/>
      <c r="O5" s="60"/>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291"/>
      <c r="AR5" s="291"/>
      <c r="AS5" s="291"/>
      <c r="AT5" s="291"/>
      <c r="AU5" s="291"/>
      <c r="AV5" s="291"/>
      <c r="AW5" s="291"/>
      <c r="AX5" s="291"/>
      <c r="AY5" s="291"/>
      <c r="AZ5" s="291"/>
      <c r="BA5" s="291"/>
      <c r="BB5" s="291"/>
      <c r="BC5" s="291"/>
      <c r="BD5" s="291"/>
      <c r="BE5" s="291"/>
      <c r="BF5" s="291"/>
      <c r="BG5" s="291"/>
      <c r="BH5" s="291"/>
      <c r="BI5" s="291"/>
      <c r="BJ5" s="291"/>
      <c r="BK5" s="291"/>
      <c r="BL5" s="291"/>
      <c r="BM5" s="291"/>
      <c r="BN5" s="291"/>
      <c r="BO5" s="291"/>
      <c r="BP5" s="291"/>
      <c r="BQ5" s="291"/>
      <c r="BR5" s="291"/>
      <c r="BS5" s="291"/>
      <c r="BT5" s="291"/>
    </row>
    <row r="6" spans="1:72" ht="15" x14ac:dyDescent="0.3">
      <c r="A6" s="250" t="s">
        <v>431</v>
      </c>
      <c r="B6" s="211">
        <v>5621.2000000000007</v>
      </c>
      <c r="C6" s="211">
        <v>5870.62</v>
      </c>
      <c r="D6" s="211">
        <v>5737</v>
      </c>
      <c r="E6" s="211">
        <v>5452</v>
      </c>
      <c r="F6" s="211">
        <v>5314</v>
      </c>
      <c r="G6" s="211">
        <v>4875</v>
      </c>
      <c r="H6" s="211">
        <v>5109</v>
      </c>
      <c r="I6" s="211">
        <v>6201.8</v>
      </c>
      <c r="J6" s="211">
        <v>6141.9</v>
      </c>
      <c r="K6" s="211">
        <v>5277.9</v>
      </c>
      <c r="L6" s="211">
        <v>5005</v>
      </c>
      <c r="M6" s="211">
        <v>4775</v>
      </c>
      <c r="N6" s="211">
        <v>5685</v>
      </c>
      <c r="O6" s="211">
        <v>9000</v>
      </c>
      <c r="P6" s="211">
        <v>8954</v>
      </c>
      <c r="Q6" s="211">
        <v>8915</v>
      </c>
      <c r="R6" s="211">
        <v>9185</v>
      </c>
      <c r="S6" s="211">
        <v>9084</v>
      </c>
      <c r="T6" s="211">
        <v>9234</v>
      </c>
      <c r="U6" s="211">
        <v>9298</v>
      </c>
      <c r="V6" s="211">
        <v>9140</v>
      </c>
      <c r="W6" s="211">
        <v>8905</v>
      </c>
      <c r="X6" s="211">
        <v>9324</v>
      </c>
      <c r="Y6" s="211">
        <v>9275</v>
      </c>
      <c r="Z6" s="211">
        <v>9497</v>
      </c>
      <c r="AA6" s="211">
        <v>9923</v>
      </c>
      <c r="AB6" s="211">
        <v>11215</v>
      </c>
      <c r="AC6" s="211">
        <v>11323</v>
      </c>
      <c r="AD6" s="211">
        <v>11341</v>
      </c>
      <c r="AE6" s="211">
        <v>11418</v>
      </c>
      <c r="AF6" s="211">
        <v>11032</v>
      </c>
      <c r="AG6" s="211">
        <v>11132</v>
      </c>
      <c r="AH6" s="211">
        <v>11318</v>
      </c>
      <c r="AI6" s="211">
        <v>11342</v>
      </c>
      <c r="AJ6" s="211">
        <v>10882</v>
      </c>
      <c r="AK6" s="211">
        <v>11626</v>
      </c>
      <c r="AL6" s="211">
        <v>11050</v>
      </c>
      <c r="AM6" s="211">
        <v>11263</v>
      </c>
      <c r="AN6" s="211">
        <v>10818</v>
      </c>
      <c r="AO6" s="211">
        <v>11922</v>
      </c>
      <c r="AP6" s="211">
        <v>12132</v>
      </c>
      <c r="AQ6" s="211">
        <v>12170</v>
      </c>
      <c r="AR6" s="211">
        <v>11781</v>
      </c>
      <c r="AS6" s="211">
        <v>12076</v>
      </c>
      <c r="AT6" s="211">
        <v>11849</v>
      </c>
      <c r="AU6" s="211">
        <v>16001</v>
      </c>
      <c r="AV6" s="211">
        <v>19084.2</v>
      </c>
      <c r="AW6" s="211">
        <v>20542</v>
      </c>
      <c r="AX6" s="211">
        <v>21102</v>
      </c>
      <c r="AY6" s="211">
        <v>21971</v>
      </c>
      <c r="AZ6" s="211">
        <v>22948</v>
      </c>
      <c r="BA6" s="211">
        <v>25135</v>
      </c>
      <c r="BB6" s="211">
        <v>25316.7</v>
      </c>
      <c r="BC6" s="211">
        <v>26460.27</v>
      </c>
      <c r="BD6" s="211">
        <v>26914.89</v>
      </c>
      <c r="BE6" s="211">
        <v>28693</v>
      </c>
      <c r="BF6" s="211">
        <v>28974</v>
      </c>
      <c r="BG6" s="211">
        <v>30067</v>
      </c>
      <c r="BH6" s="211">
        <v>31244</v>
      </c>
      <c r="BI6" s="211">
        <v>31394</v>
      </c>
      <c r="BJ6" s="211">
        <v>29519</v>
      </c>
      <c r="BK6" s="211">
        <v>29486.400000000001</v>
      </c>
      <c r="BL6" s="211">
        <v>30381.5</v>
      </c>
      <c r="BM6" s="211">
        <v>30728</v>
      </c>
      <c r="BN6" s="211">
        <v>28944</v>
      </c>
      <c r="BO6" s="211">
        <v>29579.947982210801</v>
      </c>
      <c r="BP6" s="211">
        <v>27825</v>
      </c>
      <c r="BQ6" s="211">
        <v>27427</v>
      </c>
      <c r="BR6" s="211">
        <v>27454</v>
      </c>
      <c r="BS6" s="211">
        <v>27813</v>
      </c>
      <c r="BT6" s="211">
        <v>27993</v>
      </c>
    </row>
    <row r="7" spans="1:72" ht="12.75" customHeight="1" x14ac:dyDescent="0.3">
      <c r="A7" s="250"/>
      <c r="B7" s="257"/>
      <c r="C7" s="257"/>
      <c r="D7" s="257"/>
      <c r="E7" s="257"/>
      <c r="F7" s="257"/>
      <c r="G7" s="257"/>
      <c r="H7" s="290"/>
      <c r="I7" s="290"/>
      <c r="J7" s="257"/>
      <c r="K7" s="290"/>
      <c r="L7" s="290"/>
      <c r="M7" s="290"/>
      <c r="N7" s="217"/>
      <c r="O7" s="217"/>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c r="AP7" s="290"/>
      <c r="AQ7" s="290"/>
      <c r="AR7" s="290"/>
      <c r="AS7" s="290"/>
      <c r="AT7" s="290"/>
      <c r="AU7" s="290"/>
      <c r="AV7" s="290"/>
      <c r="AW7" s="290"/>
      <c r="AX7" s="290"/>
      <c r="AY7" s="290"/>
      <c r="AZ7" s="290"/>
      <c r="BA7" s="290"/>
      <c r="BB7" s="290"/>
      <c r="BC7" s="290"/>
      <c r="BD7" s="290"/>
      <c r="BE7" s="290"/>
      <c r="BF7" s="290"/>
      <c r="BG7" s="290"/>
      <c r="BH7" s="290"/>
      <c r="BI7" s="290"/>
      <c r="BJ7" s="290"/>
      <c r="BK7" s="290"/>
      <c r="BL7" s="290"/>
      <c r="BM7" s="290"/>
      <c r="BN7" s="290"/>
      <c r="BO7" s="290"/>
      <c r="BP7" s="290"/>
      <c r="BQ7" s="290"/>
      <c r="BR7" s="290"/>
      <c r="BS7" s="290"/>
      <c r="BT7" s="290"/>
    </row>
    <row r="8" spans="1:72" ht="15.5" x14ac:dyDescent="0.3">
      <c r="A8" s="285" t="s">
        <v>429</v>
      </c>
      <c r="B8" s="218">
        <v>600</v>
      </c>
      <c r="C8" s="218">
        <v>600</v>
      </c>
      <c r="D8" s="218">
        <v>600</v>
      </c>
      <c r="E8" s="218">
        <v>821</v>
      </c>
      <c r="F8" s="218">
        <v>797</v>
      </c>
      <c r="G8" s="218">
        <v>777</v>
      </c>
      <c r="H8" s="218">
        <v>798</v>
      </c>
      <c r="I8" s="218">
        <v>7.8</v>
      </c>
      <c r="J8" s="218">
        <v>7.9</v>
      </c>
      <c r="K8" s="218">
        <v>7.9</v>
      </c>
      <c r="L8" s="218">
        <v>0</v>
      </c>
      <c r="M8" s="218">
        <v>0</v>
      </c>
      <c r="N8" s="218">
        <v>0</v>
      </c>
      <c r="O8" s="218">
        <v>0</v>
      </c>
      <c r="P8" s="218">
        <v>0</v>
      </c>
      <c r="Q8" s="218">
        <v>0</v>
      </c>
      <c r="R8" s="218">
        <v>0</v>
      </c>
      <c r="S8" s="218">
        <v>0</v>
      </c>
      <c r="T8" s="218">
        <v>0</v>
      </c>
      <c r="U8" s="218">
        <v>0</v>
      </c>
      <c r="V8" s="218">
        <v>0</v>
      </c>
      <c r="W8" s="218">
        <v>0</v>
      </c>
      <c r="X8" s="218">
        <v>0</v>
      </c>
      <c r="Y8" s="218">
        <v>0</v>
      </c>
      <c r="Z8" s="218">
        <v>0</v>
      </c>
      <c r="AA8" s="218">
        <v>0</v>
      </c>
      <c r="AB8" s="218">
        <v>0</v>
      </c>
      <c r="AC8" s="218">
        <v>0</v>
      </c>
      <c r="AD8" s="218">
        <v>0</v>
      </c>
      <c r="AE8" s="218">
        <v>0</v>
      </c>
      <c r="AF8" s="218">
        <v>0</v>
      </c>
      <c r="AG8" s="218">
        <v>0</v>
      </c>
      <c r="AH8" s="218">
        <v>0</v>
      </c>
      <c r="AI8" s="218">
        <v>0</v>
      </c>
      <c r="AJ8" s="218">
        <v>0</v>
      </c>
      <c r="AK8" s="218">
        <v>0</v>
      </c>
      <c r="AL8" s="218">
        <v>0</v>
      </c>
      <c r="AM8" s="218">
        <v>0</v>
      </c>
      <c r="AN8" s="218">
        <v>0</v>
      </c>
      <c r="AO8" s="218">
        <v>0</v>
      </c>
      <c r="AP8" s="218">
        <v>0</v>
      </c>
      <c r="AQ8" s="218">
        <v>0</v>
      </c>
      <c r="AR8" s="218">
        <v>0</v>
      </c>
      <c r="AS8" s="218">
        <v>0</v>
      </c>
      <c r="AT8" s="218">
        <v>0</v>
      </c>
      <c r="AU8" s="218">
        <v>0</v>
      </c>
      <c r="AV8" s="218">
        <v>0</v>
      </c>
      <c r="AW8" s="218">
        <v>0</v>
      </c>
      <c r="AX8" s="218">
        <v>0</v>
      </c>
      <c r="AY8" s="218">
        <v>0</v>
      </c>
      <c r="AZ8" s="218">
        <v>0</v>
      </c>
      <c r="BA8" s="218">
        <v>0</v>
      </c>
      <c r="BB8" s="218">
        <v>0</v>
      </c>
      <c r="BC8" s="218">
        <v>0</v>
      </c>
      <c r="BD8" s="218">
        <v>0</v>
      </c>
      <c r="BE8" s="218">
        <v>0</v>
      </c>
      <c r="BF8" s="218">
        <v>0</v>
      </c>
      <c r="BG8" s="218">
        <v>0</v>
      </c>
      <c r="BH8" s="218">
        <v>0</v>
      </c>
      <c r="BI8" s="218">
        <v>0</v>
      </c>
      <c r="BJ8" s="218">
        <v>0</v>
      </c>
      <c r="BK8" s="218">
        <v>0</v>
      </c>
      <c r="BL8" s="218">
        <v>0</v>
      </c>
      <c r="BM8" s="218">
        <v>0</v>
      </c>
      <c r="BN8" s="218">
        <v>0</v>
      </c>
      <c r="BO8" s="218">
        <v>0</v>
      </c>
      <c r="BP8" s="218">
        <v>0</v>
      </c>
      <c r="BQ8" s="218">
        <v>0</v>
      </c>
      <c r="BR8" s="218">
        <v>0</v>
      </c>
      <c r="BS8" s="218">
        <v>0</v>
      </c>
      <c r="BT8" s="218">
        <v>0</v>
      </c>
    </row>
    <row r="9" spans="1:72" ht="15.5" x14ac:dyDescent="0.3">
      <c r="A9" s="284" t="s">
        <v>428</v>
      </c>
      <c r="B9" s="289">
        <v>27.1</v>
      </c>
      <c r="C9" s="289">
        <v>20.2</v>
      </c>
      <c r="D9" s="289">
        <v>10.7</v>
      </c>
      <c r="E9" s="289">
        <v>0</v>
      </c>
      <c r="F9" s="289">
        <v>0</v>
      </c>
      <c r="G9" s="289">
        <v>0</v>
      </c>
      <c r="H9" s="289">
        <v>0</v>
      </c>
      <c r="I9" s="289">
        <v>0</v>
      </c>
      <c r="J9" s="289">
        <v>0</v>
      </c>
      <c r="K9" s="289">
        <v>0</v>
      </c>
      <c r="L9" s="289">
        <v>0</v>
      </c>
      <c r="M9" s="289">
        <v>0</v>
      </c>
      <c r="N9" s="289">
        <v>0</v>
      </c>
      <c r="O9" s="289">
        <v>0</v>
      </c>
      <c r="P9" s="289">
        <v>0</v>
      </c>
      <c r="Q9" s="289">
        <v>0</v>
      </c>
      <c r="R9" s="289">
        <v>0</v>
      </c>
      <c r="S9" s="289">
        <v>0</v>
      </c>
      <c r="T9" s="289">
        <v>0</v>
      </c>
      <c r="U9" s="289">
        <v>0</v>
      </c>
      <c r="V9" s="289">
        <v>0</v>
      </c>
      <c r="W9" s="289">
        <v>0</v>
      </c>
      <c r="X9" s="289">
        <v>0</v>
      </c>
      <c r="Y9" s="289">
        <v>0</v>
      </c>
      <c r="Z9" s="289">
        <v>0</v>
      </c>
      <c r="AA9" s="289">
        <v>0</v>
      </c>
      <c r="AB9" s="289">
        <v>0</v>
      </c>
      <c r="AC9" s="289">
        <v>0</v>
      </c>
      <c r="AD9" s="289">
        <v>0</v>
      </c>
      <c r="AE9" s="289">
        <v>0</v>
      </c>
      <c r="AF9" s="289">
        <v>0</v>
      </c>
      <c r="AG9" s="289">
        <v>0</v>
      </c>
      <c r="AH9" s="289">
        <v>0</v>
      </c>
      <c r="AI9" s="289">
        <v>0</v>
      </c>
      <c r="AJ9" s="289">
        <v>0</v>
      </c>
      <c r="AK9" s="289">
        <v>0</v>
      </c>
      <c r="AL9" s="289">
        <v>0</v>
      </c>
      <c r="AM9" s="289">
        <v>0</v>
      </c>
      <c r="AN9" s="289">
        <v>0</v>
      </c>
      <c r="AO9" s="289">
        <v>0</v>
      </c>
      <c r="AP9" s="289">
        <v>0</v>
      </c>
      <c r="AQ9" s="289">
        <v>0</v>
      </c>
      <c r="AR9" s="289">
        <v>0</v>
      </c>
      <c r="AS9" s="289">
        <v>0</v>
      </c>
      <c r="AT9" s="289">
        <v>0</v>
      </c>
      <c r="AU9" s="289">
        <v>0</v>
      </c>
      <c r="AV9" s="289">
        <v>0</v>
      </c>
      <c r="AW9" s="289">
        <v>0</v>
      </c>
      <c r="AX9" s="289">
        <v>0</v>
      </c>
      <c r="AY9" s="289">
        <v>0</v>
      </c>
      <c r="AZ9" s="289">
        <v>0</v>
      </c>
      <c r="BA9" s="289">
        <v>0</v>
      </c>
      <c r="BB9" s="289">
        <v>0</v>
      </c>
      <c r="BC9" s="289">
        <v>0</v>
      </c>
      <c r="BD9" s="289">
        <v>0</v>
      </c>
      <c r="BE9" s="289">
        <v>0</v>
      </c>
      <c r="BF9" s="289">
        <v>0</v>
      </c>
      <c r="BG9" s="289">
        <v>0</v>
      </c>
      <c r="BH9" s="289">
        <v>0</v>
      </c>
      <c r="BI9" s="289">
        <v>0</v>
      </c>
      <c r="BJ9" s="289">
        <v>0</v>
      </c>
      <c r="BK9" s="289">
        <v>0</v>
      </c>
      <c r="BL9" s="289">
        <v>0</v>
      </c>
      <c r="BM9" s="289">
        <v>0</v>
      </c>
      <c r="BN9" s="289">
        <v>0</v>
      </c>
      <c r="BO9" s="289">
        <v>0</v>
      </c>
      <c r="BP9" s="289">
        <v>0</v>
      </c>
      <c r="BQ9" s="289">
        <v>0</v>
      </c>
      <c r="BR9" s="289">
        <v>0</v>
      </c>
      <c r="BS9" s="289">
        <v>0</v>
      </c>
      <c r="BT9" s="289">
        <v>0</v>
      </c>
    </row>
    <row r="10" spans="1:72" ht="16.5" customHeight="1" x14ac:dyDescent="0.3">
      <c r="A10" s="288" t="s">
        <v>430</v>
      </c>
      <c r="B10" s="259">
        <v>4994.1000000000004</v>
      </c>
      <c r="C10" s="259">
        <v>5250.42</v>
      </c>
      <c r="D10" s="259">
        <v>5126.3</v>
      </c>
      <c r="E10" s="259">
        <v>4631</v>
      </c>
      <c r="F10" s="259">
        <v>4517</v>
      </c>
      <c r="G10" s="259">
        <v>4098</v>
      </c>
      <c r="H10" s="259">
        <v>4311</v>
      </c>
      <c r="I10" s="259">
        <v>6194</v>
      </c>
      <c r="J10" s="259">
        <v>6134</v>
      </c>
      <c r="K10" s="259">
        <v>5270</v>
      </c>
      <c r="L10" s="259">
        <v>5005</v>
      </c>
      <c r="M10" s="259">
        <v>4775</v>
      </c>
      <c r="N10" s="259">
        <v>5685</v>
      </c>
      <c r="O10" s="259">
        <v>9000</v>
      </c>
      <c r="P10" s="259">
        <v>8954</v>
      </c>
      <c r="Q10" s="259">
        <v>8915</v>
      </c>
      <c r="R10" s="259">
        <v>9185</v>
      </c>
      <c r="S10" s="259">
        <v>9084</v>
      </c>
      <c r="T10" s="259">
        <v>9234</v>
      </c>
      <c r="U10" s="259">
        <v>9298</v>
      </c>
      <c r="V10" s="259">
        <v>9140</v>
      </c>
      <c r="W10" s="259">
        <v>8905</v>
      </c>
      <c r="X10" s="259">
        <v>9324</v>
      </c>
      <c r="Y10" s="259">
        <v>9275</v>
      </c>
      <c r="Z10" s="259">
        <v>9497</v>
      </c>
      <c r="AA10" s="259">
        <v>9923</v>
      </c>
      <c r="AB10" s="259">
        <v>11215</v>
      </c>
      <c r="AC10" s="259">
        <v>11323</v>
      </c>
      <c r="AD10" s="259">
        <v>11341</v>
      </c>
      <c r="AE10" s="259">
        <v>11418</v>
      </c>
      <c r="AF10" s="259">
        <v>11032</v>
      </c>
      <c r="AG10" s="259">
        <v>11132</v>
      </c>
      <c r="AH10" s="259">
        <v>11318</v>
      </c>
      <c r="AI10" s="259">
        <v>11342</v>
      </c>
      <c r="AJ10" s="259">
        <v>10882</v>
      </c>
      <c r="AK10" s="259">
        <v>11626</v>
      </c>
      <c r="AL10" s="259">
        <v>11050</v>
      </c>
      <c r="AM10" s="259">
        <v>11263</v>
      </c>
      <c r="AN10" s="259">
        <v>10818</v>
      </c>
      <c r="AO10" s="259">
        <v>11922</v>
      </c>
      <c r="AP10" s="259">
        <v>12132</v>
      </c>
      <c r="AQ10" s="259">
        <v>12170</v>
      </c>
      <c r="AR10" s="259">
        <v>11781</v>
      </c>
      <c r="AS10" s="259">
        <v>12076</v>
      </c>
      <c r="AT10" s="259">
        <v>11849</v>
      </c>
      <c r="AU10" s="259">
        <v>16001</v>
      </c>
      <c r="AV10" s="259">
        <v>19084.2</v>
      </c>
      <c r="AW10" s="259">
        <v>20542</v>
      </c>
      <c r="AX10" s="259">
        <v>21102</v>
      </c>
      <c r="AY10" s="259">
        <v>21971</v>
      </c>
      <c r="AZ10" s="259">
        <v>22948</v>
      </c>
      <c r="BA10" s="259">
        <v>25135</v>
      </c>
      <c r="BB10" s="259">
        <v>25316.7</v>
      </c>
      <c r="BC10" s="259">
        <v>26460.27</v>
      </c>
      <c r="BD10" s="259">
        <v>26914.89</v>
      </c>
      <c r="BE10" s="259">
        <v>28693</v>
      </c>
      <c r="BF10" s="259">
        <v>28974</v>
      </c>
      <c r="BG10" s="259">
        <v>30067</v>
      </c>
      <c r="BH10" s="259">
        <v>31244</v>
      </c>
      <c r="BI10" s="259">
        <v>31394</v>
      </c>
      <c r="BJ10" s="259">
        <v>29519</v>
      </c>
      <c r="BK10" s="259">
        <v>29486.400000000001</v>
      </c>
      <c r="BL10" s="259">
        <v>30381.5</v>
      </c>
      <c r="BM10" s="259">
        <v>30728</v>
      </c>
      <c r="BN10" s="259">
        <v>28944</v>
      </c>
      <c r="BO10" s="259">
        <v>29579.947982210801</v>
      </c>
      <c r="BP10" s="259">
        <v>27825</v>
      </c>
      <c r="BQ10" s="259">
        <v>27427</v>
      </c>
      <c r="BR10" s="259">
        <v>27454</v>
      </c>
      <c r="BS10" s="259">
        <v>27813</v>
      </c>
      <c r="BT10" s="259">
        <v>27993</v>
      </c>
    </row>
    <row r="11" spans="1:72" ht="14" x14ac:dyDescent="0.3">
      <c r="A11" s="30"/>
      <c r="B11" s="218"/>
      <c r="C11" s="218"/>
      <c r="D11" s="218"/>
      <c r="E11" s="218"/>
      <c r="F11" s="218"/>
      <c r="G11" s="218"/>
      <c r="H11" s="287"/>
      <c r="I11" s="287"/>
      <c r="J11" s="287"/>
      <c r="K11" s="287"/>
      <c r="L11" s="287"/>
      <c r="M11" s="287"/>
      <c r="N11" s="217"/>
      <c r="O11" s="21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7"/>
      <c r="AQ11" s="287"/>
      <c r="AR11" s="287"/>
      <c r="AS11" s="287"/>
      <c r="AT11" s="287"/>
      <c r="AU11" s="287"/>
      <c r="AV11" s="287"/>
      <c r="AW11" s="287"/>
      <c r="AX11" s="287"/>
      <c r="AY11" s="287"/>
      <c r="AZ11" s="287"/>
      <c r="BA11" s="287"/>
      <c r="BB11" s="287"/>
      <c r="BC11" s="287"/>
      <c r="BD11" s="287"/>
      <c r="BE11" s="287"/>
      <c r="BF11" s="287"/>
      <c r="BG11" s="287"/>
      <c r="BH11" s="287"/>
      <c r="BI11" s="287"/>
      <c r="BJ11" s="287"/>
      <c r="BK11" s="287"/>
      <c r="BL11" s="287"/>
      <c r="BM11" s="287"/>
      <c r="BN11" s="287"/>
      <c r="BO11" s="287"/>
      <c r="BP11" s="287"/>
      <c r="BQ11" s="287"/>
      <c r="BR11" s="287"/>
      <c r="BS11" s="287"/>
      <c r="BT11" s="287"/>
    </row>
    <row r="12" spans="1:72" ht="15" x14ac:dyDescent="0.3">
      <c r="A12" s="250" t="s">
        <v>142</v>
      </c>
      <c r="B12" s="211">
        <v>2501.5</v>
      </c>
      <c r="C12" s="211">
        <v>2541.5</v>
      </c>
      <c r="D12" s="211">
        <v>2501.5999999999995</v>
      </c>
      <c r="E12" s="211">
        <v>2657.4</v>
      </c>
      <c r="F12" s="211">
        <v>2646</v>
      </c>
      <c r="G12" s="211">
        <v>5026</v>
      </c>
      <c r="H12" s="211">
        <v>5966</v>
      </c>
      <c r="I12" s="211">
        <v>3759</v>
      </c>
      <c r="J12" s="211">
        <v>3491</v>
      </c>
      <c r="K12" s="211">
        <v>3638</v>
      </c>
      <c r="L12" s="211">
        <v>3404</v>
      </c>
      <c r="M12" s="211">
        <v>2966</v>
      </c>
      <c r="N12" s="211">
        <v>2767</v>
      </c>
      <c r="O12" s="211">
        <v>2364</v>
      </c>
      <c r="P12" s="211">
        <v>2355</v>
      </c>
      <c r="Q12" s="211">
        <v>2147</v>
      </c>
      <c r="R12" s="211">
        <v>2141</v>
      </c>
      <c r="S12" s="211">
        <v>1984</v>
      </c>
      <c r="T12" s="211">
        <v>1919</v>
      </c>
      <c r="U12" s="211">
        <v>1867</v>
      </c>
      <c r="V12" s="211">
        <v>1859</v>
      </c>
      <c r="W12" s="211">
        <v>1824</v>
      </c>
      <c r="X12" s="211">
        <v>1764</v>
      </c>
      <c r="Y12" s="211">
        <v>1712</v>
      </c>
      <c r="Z12" s="211">
        <v>1600</v>
      </c>
      <c r="AA12" s="211">
        <v>1508</v>
      </c>
      <c r="AB12" s="211">
        <v>1470</v>
      </c>
      <c r="AC12" s="211">
        <v>1431</v>
      </c>
      <c r="AD12" s="211">
        <v>1454</v>
      </c>
      <c r="AE12" s="211">
        <v>1382</v>
      </c>
      <c r="AF12" s="211">
        <v>1355</v>
      </c>
      <c r="AG12" s="211">
        <v>1300</v>
      </c>
      <c r="AH12" s="211">
        <v>1251</v>
      </c>
      <c r="AI12" s="211">
        <v>1145</v>
      </c>
      <c r="AJ12" s="211">
        <v>1089</v>
      </c>
      <c r="AK12" s="211">
        <v>1085</v>
      </c>
      <c r="AL12" s="211">
        <v>1036</v>
      </c>
      <c r="AM12" s="211">
        <v>995</v>
      </c>
      <c r="AN12" s="211">
        <v>955</v>
      </c>
      <c r="AO12" s="211">
        <v>882</v>
      </c>
      <c r="AP12" s="211">
        <v>810</v>
      </c>
      <c r="AQ12" s="211">
        <v>743</v>
      </c>
      <c r="AR12" s="211">
        <v>680</v>
      </c>
      <c r="AS12" s="211">
        <v>648</v>
      </c>
      <c r="AT12" s="211">
        <v>575</v>
      </c>
      <c r="AU12" s="211">
        <v>533</v>
      </c>
      <c r="AV12" s="211">
        <v>512</v>
      </c>
      <c r="AW12" s="211">
        <v>522</v>
      </c>
      <c r="AX12" s="211">
        <v>528</v>
      </c>
      <c r="AY12" s="211">
        <v>546</v>
      </c>
      <c r="AZ12" s="211">
        <v>521</v>
      </c>
      <c r="BA12" s="211">
        <v>558</v>
      </c>
      <c r="BB12" s="211">
        <v>530</v>
      </c>
      <c r="BC12" s="211">
        <v>34</v>
      </c>
      <c r="BD12" s="211">
        <v>20</v>
      </c>
      <c r="BE12" s="211">
        <v>20</v>
      </c>
      <c r="BF12" s="211">
        <v>5</v>
      </c>
      <c r="BG12" s="211">
        <v>6</v>
      </c>
      <c r="BH12" s="211">
        <v>0</v>
      </c>
      <c r="BI12" s="211">
        <v>0</v>
      </c>
      <c r="BJ12" s="211">
        <v>0</v>
      </c>
      <c r="BK12" s="211">
        <v>0</v>
      </c>
      <c r="BL12" s="211">
        <v>0</v>
      </c>
      <c r="BM12" s="211">
        <v>0</v>
      </c>
      <c r="BN12" s="211">
        <v>0</v>
      </c>
      <c r="BO12" s="211">
        <v>0</v>
      </c>
      <c r="BP12" s="211">
        <v>0</v>
      </c>
      <c r="BQ12" s="211">
        <v>0</v>
      </c>
      <c r="BR12" s="211">
        <v>0</v>
      </c>
      <c r="BS12" s="211">
        <v>0</v>
      </c>
      <c r="BT12" s="211">
        <v>0</v>
      </c>
    </row>
    <row r="13" spans="1:72" ht="15" x14ac:dyDescent="0.3">
      <c r="A13" s="250"/>
      <c r="B13" s="211"/>
      <c r="C13" s="211"/>
      <c r="D13" s="211"/>
      <c r="E13" s="211"/>
      <c r="F13" s="211"/>
      <c r="G13" s="211"/>
      <c r="H13" s="286"/>
      <c r="I13" s="286"/>
      <c r="J13" s="211"/>
      <c r="K13" s="286"/>
      <c r="L13" s="286"/>
      <c r="M13" s="286"/>
      <c r="N13" s="217"/>
      <c r="O13" s="217"/>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6"/>
      <c r="AM13" s="286"/>
      <c r="AN13" s="286"/>
      <c r="AO13" s="286"/>
      <c r="AP13" s="286"/>
      <c r="AQ13" s="286"/>
      <c r="AR13" s="286"/>
      <c r="AS13" s="286"/>
      <c r="AT13" s="286"/>
      <c r="AU13" s="286"/>
      <c r="AV13" s="286"/>
      <c r="AW13" s="286"/>
      <c r="AX13" s="286"/>
      <c r="AY13" s="286"/>
      <c r="AZ13" s="286"/>
      <c r="BA13" s="286"/>
      <c r="BB13" s="286"/>
      <c r="BC13" s="286"/>
      <c r="BD13" s="286"/>
      <c r="BE13" s="286"/>
      <c r="BF13" s="286"/>
      <c r="BG13" s="286"/>
      <c r="BH13" s="286"/>
      <c r="BI13" s="286"/>
      <c r="BJ13" s="286"/>
      <c r="BK13" s="286"/>
      <c r="BL13" s="286"/>
      <c r="BM13" s="286"/>
      <c r="BN13" s="286"/>
      <c r="BO13" s="286"/>
      <c r="BP13" s="286"/>
      <c r="BQ13" s="286"/>
      <c r="BR13" s="286"/>
      <c r="BS13" s="286"/>
      <c r="BT13" s="286"/>
    </row>
    <row r="14" spans="1:72" ht="15.5" x14ac:dyDescent="0.3">
      <c r="A14" s="285" t="s">
        <v>429</v>
      </c>
      <c r="B14" s="218">
        <v>0</v>
      </c>
      <c r="C14" s="218">
        <v>0</v>
      </c>
      <c r="D14" s="218">
        <v>0</v>
      </c>
      <c r="E14" s="218">
        <v>0</v>
      </c>
      <c r="F14" s="218">
        <v>0</v>
      </c>
      <c r="G14" s="218">
        <v>0</v>
      </c>
      <c r="H14" s="218">
        <v>0</v>
      </c>
      <c r="I14" s="218">
        <v>0</v>
      </c>
      <c r="J14" s="218">
        <v>0</v>
      </c>
      <c r="K14" s="218">
        <v>0</v>
      </c>
      <c r="L14" s="218">
        <v>0</v>
      </c>
      <c r="M14" s="218">
        <v>0</v>
      </c>
      <c r="N14" s="218">
        <v>0</v>
      </c>
      <c r="O14" s="218">
        <v>0</v>
      </c>
      <c r="P14" s="218">
        <v>0</v>
      </c>
      <c r="Q14" s="218">
        <v>0</v>
      </c>
      <c r="R14" s="218">
        <v>0</v>
      </c>
      <c r="S14" s="218">
        <v>0</v>
      </c>
      <c r="T14" s="218">
        <v>0</v>
      </c>
      <c r="U14" s="218">
        <v>0</v>
      </c>
      <c r="V14" s="218">
        <v>0</v>
      </c>
      <c r="W14" s="218">
        <v>0</v>
      </c>
      <c r="X14" s="218">
        <v>0</v>
      </c>
      <c r="Y14" s="218">
        <v>0</v>
      </c>
      <c r="Z14" s="218">
        <v>0</v>
      </c>
      <c r="AA14" s="218">
        <v>0</v>
      </c>
      <c r="AB14" s="218">
        <v>0</v>
      </c>
      <c r="AC14" s="218">
        <v>0</v>
      </c>
      <c r="AD14" s="218">
        <v>0</v>
      </c>
      <c r="AE14" s="218">
        <v>0</v>
      </c>
      <c r="AF14" s="218">
        <v>0</v>
      </c>
      <c r="AG14" s="218">
        <v>0</v>
      </c>
      <c r="AH14" s="218">
        <v>0</v>
      </c>
      <c r="AI14" s="218">
        <v>0</v>
      </c>
      <c r="AJ14" s="218">
        <v>0</v>
      </c>
      <c r="AK14" s="218">
        <v>0</v>
      </c>
      <c r="AL14" s="218">
        <v>0</v>
      </c>
      <c r="AM14" s="218">
        <v>0</v>
      </c>
      <c r="AN14" s="218">
        <v>0</v>
      </c>
      <c r="AO14" s="218">
        <v>0</v>
      </c>
      <c r="AP14" s="218">
        <v>0</v>
      </c>
      <c r="AQ14" s="218">
        <v>0</v>
      </c>
      <c r="AR14" s="218">
        <v>0</v>
      </c>
      <c r="AS14" s="218">
        <v>0</v>
      </c>
      <c r="AT14" s="218">
        <v>0</v>
      </c>
      <c r="AU14" s="218">
        <v>0</v>
      </c>
      <c r="AV14" s="218">
        <v>0</v>
      </c>
      <c r="AW14" s="218">
        <v>0</v>
      </c>
      <c r="AX14" s="218">
        <v>0</v>
      </c>
      <c r="AY14" s="218">
        <v>0</v>
      </c>
      <c r="AZ14" s="218">
        <v>0</v>
      </c>
      <c r="BA14" s="218">
        <v>0</v>
      </c>
      <c r="BB14" s="218">
        <v>0</v>
      </c>
      <c r="BC14" s="218">
        <v>0</v>
      </c>
      <c r="BD14" s="218">
        <v>0</v>
      </c>
      <c r="BE14" s="218">
        <v>0</v>
      </c>
      <c r="BF14" s="218">
        <v>0</v>
      </c>
      <c r="BG14" s="218">
        <v>0</v>
      </c>
      <c r="BH14" s="218">
        <v>0</v>
      </c>
      <c r="BI14" s="218">
        <v>0</v>
      </c>
      <c r="BJ14" s="218">
        <v>0</v>
      </c>
      <c r="BK14" s="218">
        <v>0</v>
      </c>
      <c r="BL14" s="218">
        <v>0</v>
      </c>
      <c r="BM14" s="218">
        <v>0</v>
      </c>
      <c r="BN14" s="218">
        <v>0</v>
      </c>
      <c r="BO14" s="218">
        <v>0</v>
      </c>
      <c r="BP14" s="218">
        <v>0</v>
      </c>
      <c r="BQ14" s="218">
        <v>0</v>
      </c>
      <c r="BR14" s="218">
        <v>0</v>
      </c>
      <c r="BS14" s="218">
        <v>0</v>
      </c>
      <c r="BT14" s="218">
        <v>0</v>
      </c>
    </row>
    <row r="15" spans="1:72" ht="15.5" x14ac:dyDescent="0.3">
      <c r="A15" s="284" t="s">
        <v>428</v>
      </c>
      <c r="B15" s="218">
        <v>12.2</v>
      </c>
      <c r="C15" s="218">
        <v>10.8</v>
      </c>
      <c r="D15" s="218">
        <v>10.7</v>
      </c>
      <c r="E15" s="218">
        <v>330</v>
      </c>
      <c r="F15" s="218">
        <v>723</v>
      </c>
      <c r="G15" s="218">
        <v>316</v>
      </c>
      <c r="H15" s="218">
        <v>303</v>
      </c>
      <c r="I15" s="218">
        <v>0</v>
      </c>
      <c r="J15" s="218">
        <v>0</v>
      </c>
      <c r="K15" s="218">
        <v>0</v>
      </c>
      <c r="L15" s="218">
        <v>0</v>
      </c>
      <c r="M15" s="218">
        <v>0</v>
      </c>
      <c r="N15" s="218">
        <v>0</v>
      </c>
      <c r="O15" s="218">
        <v>0</v>
      </c>
      <c r="P15" s="218">
        <v>0</v>
      </c>
      <c r="Q15" s="218">
        <v>0</v>
      </c>
      <c r="R15" s="218">
        <v>0</v>
      </c>
      <c r="S15" s="218">
        <v>0</v>
      </c>
      <c r="T15" s="218">
        <v>0</v>
      </c>
      <c r="U15" s="218">
        <v>0</v>
      </c>
      <c r="V15" s="218">
        <v>0</v>
      </c>
      <c r="W15" s="218">
        <v>0</v>
      </c>
      <c r="X15" s="218">
        <v>0</v>
      </c>
      <c r="Y15" s="218">
        <v>0</v>
      </c>
      <c r="Z15" s="218">
        <v>0</v>
      </c>
      <c r="AA15" s="218">
        <v>0</v>
      </c>
      <c r="AB15" s="218">
        <v>0</v>
      </c>
      <c r="AC15" s="218">
        <v>0</v>
      </c>
      <c r="AD15" s="218">
        <v>0</v>
      </c>
      <c r="AE15" s="218">
        <v>0</v>
      </c>
      <c r="AF15" s="218">
        <v>0</v>
      </c>
      <c r="AG15" s="218">
        <v>0</v>
      </c>
      <c r="AH15" s="218">
        <v>0</v>
      </c>
      <c r="AI15" s="218">
        <v>0</v>
      </c>
      <c r="AJ15" s="218">
        <v>0</v>
      </c>
      <c r="AK15" s="218">
        <v>0</v>
      </c>
      <c r="AL15" s="218">
        <v>0</v>
      </c>
      <c r="AM15" s="218">
        <v>0</v>
      </c>
      <c r="AN15" s="218">
        <v>0</v>
      </c>
      <c r="AO15" s="218">
        <v>0</v>
      </c>
      <c r="AP15" s="218">
        <v>0</v>
      </c>
      <c r="AQ15" s="218">
        <v>0</v>
      </c>
      <c r="AR15" s="218">
        <v>0</v>
      </c>
      <c r="AS15" s="218">
        <v>0</v>
      </c>
      <c r="AT15" s="218">
        <v>0</v>
      </c>
      <c r="AU15" s="218">
        <v>0</v>
      </c>
      <c r="AV15" s="218">
        <v>0</v>
      </c>
      <c r="AW15" s="218">
        <v>0</v>
      </c>
      <c r="AX15" s="218">
        <v>0</v>
      </c>
      <c r="AY15" s="218">
        <v>0</v>
      </c>
      <c r="AZ15" s="218">
        <v>0</v>
      </c>
      <c r="BA15" s="218">
        <v>0</v>
      </c>
      <c r="BB15" s="218">
        <v>0</v>
      </c>
      <c r="BC15" s="218">
        <v>0</v>
      </c>
      <c r="BD15" s="218">
        <v>0</v>
      </c>
      <c r="BE15" s="218">
        <v>0</v>
      </c>
      <c r="BF15" s="218">
        <v>0</v>
      </c>
      <c r="BG15" s="218">
        <v>0</v>
      </c>
      <c r="BH15" s="218">
        <v>0</v>
      </c>
      <c r="BI15" s="218">
        <v>0</v>
      </c>
      <c r="BJ15" s="218">
        <v>0</v>
      </c>
      <c r="BK15" s="218">
        <v>0</v>
      </c>
      <c r="BL15" s="218">
        <v>0</v>
      </c>
      <c r="BM15" s="218">
        <v>0</v>
      </c>
      <c r="BN15" s="218">
        <v>0</v>
      </c>
      <c r="BO15" s="218">
        <v>0</v>
      </c>
      <c r="BP15" s="218">
        <v>0</v>
      </c>
      <c r="BQ15" s="218">
        <v>0</v>
      </c>
      <c r="BR15" s="218">
        <v>0</v>
      </c>
      <c r="BS15" s="218">
        <v>0</v>
      </c>
      <c r="BT15" s="218">
        <v>0</v>
      </c>
    </row>
    <row r="16" spans="1:72" ht="15.5" x14ac:dyDescent="0.35">
      <c r="A16" s="283" t="s">
        <v>427</v>
      </c>
      <c r="B16" s="218">
        <v>2489.3000000000002</v>
      </c>
      <c r="C16" s="218">
        <v>2530.6999999999998</v>
      </c>
      <c r="D16" s="218">
        <v>2490.8999999999996</v>
      </c>
      <c r="E16" s="218">
        <v>2327.4</v>
      </c>
      <c r="F16" s="218">
        <v>1923</v>
      </c>
      <c r="G16" s="218">
        <v>4710</v>
      </c>
      <c r="H16" s="218">
        <v>5663</v>
      </c>
      <c r="I16" s="218">
        <v>3759</v>
      </c>
      <c r="J16" s="218">
        <v>3491</v>
      </c>
      <c r="K16" s="218">
        <v>3638</v>
      </c>
      <c r="L16" s="218">
        <v>3404</v>
      </c>
      <c r="M16" s="218">
        <v>2966</v>
      </c>
      <c r="N16" s="218">
        <v>2767</v>
      </c>
      <c r="O16" s="218">
        <v>2364</v>
      </c>
      <c r="P16" s="218">
        <v>2355</v>
      </c>
      <c r="Q16" s="218">
        <v>2147</v>
      </c>
      <c r="R16" s="218">
        <v>2141</v>
      </c>
      <c r="S16" s="218">
        <v>1984</v>
      </c>
      <c r="T16" s="218">
        <v>1919</v>
      </c>
      <c r="U16" s="218">
        <v>1867</v>
      </c>
      <c r="V16" s="218">
        <v>1859</v>
      </c>
      <c r="W16" s="218">
        <v>1824</v>
      </c>
      <c r="X16" s="218">
        <v>1764</v>
      </c>
      <c r="Y16" s="218">
        <v>1712</v>
      </c>
      <c r="Z16" s="218">
        <v>1600</v>
      </c>
      <c r="AA16" s="218">
        <v>1508</v>
      </c>
      <c r="AB16" s="218">
        <v>1470</v>
      </c>
      <c r="AC16" s="218">
        <v>1431</v>
      </c>
      <c r="AD16" s="218">
        <v>1454</v>
      </c>
      <c r="AE16" s="218">
        <v>1382</v>
      </c>
      <c r="AF16" s="218">
        <v>1355</v>
      </c>
      <c r="AG16" s="218">
        <v>1300</v>
      </c>
      <c r="AH16" s="218">
        <v>1251</v>
      </c>
      <c r="AI16" s="218">
        <v>1145</v>
      </c>
      <c r="AJ16" s="218">
        <v>1089</v>
      </c>
      <c r="AK16" s="218">
        <v>1085</v>
      </c>
      <c r="AL16" s="218">
        <v>1036</v>
      </c>
      <c r="AM16" s="218">
        <v>995</v>
      </c>
      <c r="AN16" s="218">
        <v>955</v>
      </c>
      <c r="AO16" s="282">
        <v>882</v>
      </c>
      <c r="AP16" s="282">
        <v>810</v>
      </c>
      <c r="AQ16" s="282">
        <v>743</v>
      </c>
      <c r="AR16" s="282">
        <v>680</v>
      </c>
      <c r="AS16" s="282">
        <v>648</v>
      </c>
      <c r="AT16" s="282">
        <v>575</v>
      </c>
      <c r="AU16" s="282">
        <v>533</v>
      </c>
      <c r="AV16" s="282">
        <v>512</v>
      </c>
      <c r="AW16" s="282">
        <v>522</v>
      </c>
      <c r="AX16" s="282">
        <v>528</v>
      </c>
      <c r="AY16" s="282">
        <v>546</v>
      </c>
      <c r="AZ16" s="282">
        <v>521</v>
      </c>
      <c r="BA16" s="282">
        <v>558</v>
      </c>
      <c r="BB16" s="282">
        <v>530</v>
      </c>
      <c r="BC16" s="282">
        <v>34</v>
      </c>
      <c r="BD16" s="282">
        <v>20</v>
      </c>
      <c r="BE16" s="282">
        <v>20</v>
      </c>
      <c r="BF16" s="282">
        <v>5</v>
      </c>
      <c r="BG16" s="282">
        <v>6</v>
      </c>
      <c r="BH16" s="282">
        <v>0</v>
      </c>
      <c r="BI16" s="282">
        <v>0</v>
      </c>
      <c r="BJ16" s="282">
        <v>0</v>
      </c>
      <c r="BK16" s="282">
        <v>0</v>
      </c>
      <c r="BL16" s="282">
        <v>0</v>
      </c>
      <c r="BM16" s="282">
        <v>0</v>
      </c>
      <c r="BN16" s="282">
        <v>0</v>
      </c>
      <c r="BO16" s="218">
        <v>0</v>
      </c>
      <c r="BP16" s="218">
        <v>0</v>
      </c>
      <c r="BQ16" s="218">
        <v>0</v>
      </c>
      <c r="BR16" s="218">
        <v>0</v>
      </c>
      <c r="BS16" s="218">
        <v>0</v>
      </c>
      <c r="BT16" s="218">
        <v>0</v>
      </c>
    </row>
    <row r="17" spans="1:72" ht="15.5" x14ac:dyDescent="0.35">
      <c r="A17" s="238"/>
      <c r="B17" s="218"/>
      <c r="C17" s="218"/>
      <c r="D17" s="218"/>
      <c r="E17" s="218"/>
      <c r="F17" s="218"/>
      <c r="G17" s="216"/>
      <c r="H17" s="214"/>
      <c r="I17" s="214"/>
      <c r="J17" s="216"/>
      <c r="K17" s="214"/>
      <c r="L17" s="214"/>
      <c r="M17" s="214"/>
      <c r="N17" s="217"/>
      <c r="O17" s="217"/>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c r="AR17" s="214"/>
      <c r="AS17" s="214"/>
      <c r="AT17" s="214"/>
      <c r="AU17" s="214"/>
      <c r="AV17" s="214"/>
      <c r="AW17" s="214"/>
      <c r="AX17" s="214"/>
      <c r="AY17" s="214"/>
      <c r="AZ17" s="214"/>
      <c r="BA17" s="214"/>
      <c r="BB17" s="214"/>
      <c r="BC17" s="214"/>
      <c r="BD17" s="214"/>
      <c r="BE17" s="214"/>
      <c r="BF17" s="214"/>
      <c r="BG17" s="214"/>
      <c r="BH17" s="214"/>
      <c r="BI17" s="214"/>
      <c r="BJ17" s="214"/>
      <c r="BK17" s="214"/>
      <c r="BL17" s="214"/>
      <c r="BM17" s="214"/>
      <c r="BN17" s="214"/>
      <c r="BO17" s="214"/>
      <c r="BP17" s="214"/>
      <c r="BQ17" s="214"/>
      <c r="BR17" s="214"/>
      <c r="BS17" s="214"/>
      <c r="BT17" s="214"/>
    </row>
    <row r="18" spans="1:72" ht="15" x14ac:dyDescent="0.3">
      <c r="A18" s="281" t="s">
        <v>426</v>
      </c>
      <c r="B18" s="211">
        <v>8122.7000000000007</v>
      </c>
      <c r="C18" s="211">
        <v>8412.119999999999</v>
      </c>
      <c r="D18" s="211">
        <v>8238.5999999999985</v>
      </c>
      <c r="E18" s="211">
        <v>8109.4</v>
      </c>
      <c r="F18" s="211">
        <v>7960</v>
      </c>
      <c r="G18" s="211">
        <v>9901</v>
      </c>
      <c r="H18" s="211">
        <v>11075</v>
      </c>
      <c r="I18" s="211">
        <v>9960.7999999999993</v>
      </c>
      <c r="J18" s="211">
        <v>9632.9</v>
      </c>
      <c r="K18" s="211">
        <v>8915.9</v>
      </c>
      <c r="L18" s="211">
        <v>8409</v>
      </c>
      <c r="M18" s="211">
        <v>7741</v>
      </c>
      <c r="N18" s="211">
        <v>8452</v>
      </c>
      <c r="O18" s="211">
        <v>11364</v>
      </c>
      <c r="P18" s="211">
        <v>11309</v>
      </c>
      <c r="Q18" s="211">
        <v>11062</v>
      </c>
      <c r="R18" s="211">
        <v>11326</v>
      </c>
      <c r="S18" s="211">
        <v>11068</v>
      </c>
      <c r="T18" s="211">
        <v>11153</v>
      </c>
      <c r="U18" s="211">
        <v>11165</v>
      </c>
      <c r="V18" s="211">
        <v>10999</v>
      </c>
      <c r="W18" s="211">
        <v>10729</v>
      </c>
      <c r="X18" s="211">
        <v>11088</v>
      </c>
      <c r="Y18" s="211">
        <v>10987</v>
      </c>
      <c r="Z18" s="211">
        <v>11097</v>
      </c>
      <c r="AA18" s="211">
        <v>11431</v>
      </c>
      <c r="AB18" s="211">
        <v>12685</v>
      </c>
      <c r="AC18" s="211">
        <v>12754</v>
      </c>
      <c r="AD18" s="211">
        <v>12795</v>
      </c>
      <c r="AE18" s="211">
        <v>12800</v>
      </c>
      <c r="AF18" s="211">
        <v>12387</v>
      </c>
      <c r="AG18" s="211">
        <v>12432</v>
      </c>
      <c r="AH18" s="211">
        <v>12569</v>
      </c>
      <c r="AI18" s="211">
        <v>12487</v>
      </c>
      <c r="AJ18" s="211">
        <v>11971</v>
      </c>
      <c r="AK18" s="211">
        <v>12711</v>
      </c>
      <c r="AL18" s="211">
        <v>12086</v>
      </c>
      <c r="AM18" s="211">
        <v>12258</v>
      </c>
      <c r="AN18" s="211">
        <v>11773</v>
      </c>
      <c r="AO18" s="211">
        <v>12804</v>
      </c>
      <c r="AP18" s="211">
        <v>12942</v>
      </c>
      <c r="AQ18" s="211">
        <v>12913</v>
      </c>
      <c r="AR18" s="211">
        <v>12461</v>
      </c>
      <c r="AS18" s="211">
        <v>12724</v>
      </c>
      <c r="AT18" s="211">
        <v>12424</v>
      </c>
      <c r="AU18" s="211">
        <v>16534</v>
      </c>
      <c r="AV18" s="211">
        <v>19596.2</v>
      </c>
      <c r="AW18" s="211">
        <v>21064</v>
      </c>
      <c r="AX18" s="211">
        <v>21630</v>
      </c>
      <c r="AY18" s="211">
        <v>22517</v>
      </c>
      <c r="AZ18" s="211">
        <v>23469</v>
      </c>
      <c r="BA18" s="211">
        <v>25693</v>
      </c>
      <c r="BB18" s="211">
        <v>25846.7</v>
      </c>
      <c r="BC18" s="211">
        <v>26494.27</v>
      </c>
      <c r="BD18" s="211">
        <v>26934.89</v>
      </c>
      <c r="BE18" s="211">
        <v>28713</v>
      </c>
      <c r="BF18" s="211">
        <v>28979</v>
      </c>
      <c r="BG18" s="211">
        <v>30073</v>
      </c>
      <c r="BH18" s="211">
        <v>31244</v>
      </c>
      <c r="BI18" s="211">
        <v>31394</v>
      </c>
      <c r="BJ18" s="211">
        <v>29519</v>
      </c>
      <c r="BK18" s="211">
        <v>29486.400000000001</v>
      </c>
      <c r="BL18" s="211">
        <v>30381.5</v>
      </c>
      <c r="BM18" s="211">
        <v>30728</v>
      </c>
      <c r="BN18" s="211">
        <v>28944</v>
      </c>
      <c r="BO18" s="211">
        <v>29579.947982210801</v>
      </c>
      <c r="BP18" s="211">
        <v>27825</v>
      </c>
      <c r="BQ18" s="211">
        <v>27427</v>
      </c>
      <c r="BR18" s="211">
        <v>27454</v>
      </c>
      <c r="BS18" s="211">
        <v>27813</v>
      </c>
      <c r="BT18" s="211">
        <v>27993</v>
      </c>
    </row>
    <row r="19" spans="1:72" ht="14" x14ac:dyDescent="0.3">
      <c r="A19" s="7"/>
      <c r="B19" s="209"/>
      <c r="C19" s="209"/>
      <c r="D19" s="209"/>
      <c r="E19" s="209"/>
      <c r="F19" s="209"/>
      <c r="G19" s="209"/>
      <c r="H19" s="207"/>
      <c r="I19" s="207"/>
      <c r="J19" s="207"/>
      <c r="K19" s="207"/>
      <c r="L19" s="207"/>
      <c r="M19" s="207"/>
      <c r="N19" s="210"/>
      <c r="O19" s="210"/>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c r="BT19" s="207"/>
    </row>
    <row r="20" spans="1:72" ht="10.25" customHeight="1" x14ac:dyDescent="0.3">
      <c r="A20" s="280"/>
    </row>
    <row r="21" spans="1:72" x14ac:dyDescent="0.3">
      <c r="A21" s="1262"/>
      <c r="B21" s="1262"/>
      <c r="C21" s="1262"/>
      <c r="D21" s="1262"/>
      <c r="E21" s="1262"/>
      <c r="F21" s="1262"/>
      <c r="G21" s="1262"/>
      <c r="H21" s="1262"/>
      <c r="I21" s="1262"/>
      <c r="J21" s="1262"/>
      <c r="K21" s="1262"/>
      <c r="L21" s="1262"/>
      <c r="M21" s="1262"/>
      <c r="N21" s="1262"/>
      <c r="O21" s="1262"/>
      <c r="P21" s="1262"/>
      <c r="Q21" s="1262"/>
      <c r="R21" s="1262"/>
      <c r="S21" s="1262"/>
      <c r="T21" s="1262"/>
      <c r="U21" s="1262"/>
      <c r="V21" s="1262"/>
      <c r="W21" s="1262"/>
      <c r="X21" s="1262"/>
      <c r="Y21" s="1262"/>
      <c r="Z21" s="1262"/>
      <c r="AA21" s="1262"/>
      <c r="AB21" s="1262"/>
      <c r="AC21" s="1262"/>
      <c r="AD21" s="1262"/>
      <c r="AE21" s="1262"/>
      <c r="AF21" s="1262"/>
      <c r="AG21" s="1262"/>
      <c r="AH21" s="1262"/>
      <c r="AI21" s="1262"/>
      <c r="AJ21" s="1262"/>
      <c r="AK21" s="1262"/>
      <c r="AL21" s="1262"/>
      <c r="AM21" s="1262"/>
      <c r="AN21" s="1262"/>
      <c r="AO21" s="1262"/>
      <c r="AP21" s="1262"/>
      <c r="AQ21" s="1262"/>
      <c r="AR21" s="1262"/>
      <c r="AS21" s="1262"/>
      <c r="AT21" s="1262"/>
      <c r="AU21" s="1262"/>
      <c r="AV21" s="1262"/>
      <c r="AW21" s="1262"/>
      <c r="AX21" s="1262"/>
      <c r="AY21" s="1262"/>
      <c r="AZ21" s="1262"/>
      <c r="BA21" s="1262"/>
      <c r="BB21" s="1262"/>
      <c r="BC21" s="1262"/>
      <c r="BD21" s="1262"/>
      <c r="BE21" s="1262"/>
      <c r="BF21" s="1262"/>
      <c r="BG21" s="1262"/>
      <c r="BH21" s="1262"/>
      <c r="BI21" s="1262"/>
      <c r="BJ21" s="1262"/>
      <c r="BK21" s="1262"/>
      <c r="BL21" s="1262"/>
      <c r="BM21" s="1262"/>
      <c r="BN21" s="1262"/>
      <c r="BO21" s="1262"/>
      <c r="BP21" s="1262"/>
      <c r="BQ21" s="1262"/>
      <c r="BR21" s="1262"/>
    </row>
    <row r="22" spans="1:72" x14ac:dyDescent="0.3">
      <c r="D22" s="279"/>
    </row>
    <row r="23" spans="1:72" ht="15.5" x14ac:dyDescent="0.3">
      <c r="A23" s="278"/>
      <c r="P23" s="1"/>
      <c r="Q23" s="1"/>
      <c r="R23" s="1"/>
      <c r="S23" s="1"/>
      <c r="T23" s="1"/>
      <c r="U23" s="1"/>
      <c r="V23" s="1"/>
      <c r="W23" s="1"/>
    </row>
    <row r="24" spans="1:72" ht="15.5" x14ac:dyDescent="0.3">
      <c r="A24" s="278"/>
    </row>
    <row r="25" spans="1:72" ht="15.5" x14ac:dyDescent="0.35">
      <c r="A25" s="277"/>
      <c r="U25" s="5"/>
      <c r="V25" s="5"/>
    </row>
    <row r="26" spans="1:72" ht="15.5" x14ac:dyDescent="0.35">
      <c r="A26" s="277"/>
      <c r="U26" s="5"/>
      <c r="V26" s="5"/>
    </row>
  </sheetData>
  <mergeCells count="2">
    <mergeCell ref="A21:BR21"/>
    <mergeCell ref="A1:BT1"/>
  </mergeCells>
  <printOptions horizontalCentered="1"/>
  <pageMargins left="0.59" right="0.32" top="0.7" bottom="0.98425196850393704" header="0.51181102362204722"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D26D7729DC404C8656BACE387338A9" ma:contentTypeVersion="1" ma:contentTypeDescription="Create a new document." ma:contentTypeScope="" ma:versionID="0bada1de042ab64004e1b9894a5e21a1">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371ED5E-413B-49E9-B187-179E625EB5D5}"/>
</file>

<file path=customXml/itemProps2.xml><?xml version="1.0" encoding="utf-8"?>
<ds:datastoreItem xmlns:ds="http://schemas.openxmlformats.org/officeDocument/2006/customXml" ds:itemID="{3BE16492-3C4F-4B3F-93AE-D5BE2597C204}"/>
</file>

<file path=customXml/itemProps3.xml><?xml version="1.0" encoding="utf-8"?>
<ds:datastoreItem xmlns:ds="http://schemas.openxmlformats.org/officeDocument/2006/customXml" ds:itemID="{1F4FBB20-D18A-4ABE-942F-104F9CC143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23</vt:i4>
      </vt:variant>
    </vt:vector>
  </HeadingPairs>
  <TitlesOfParts>
    <vt:vector size="45" baseType="lpstr">
      <vt:lpstr>Table of Contents</vt:lpstr>
      <vt:lpstr>Tab 1</vt:lpstr>
      <vt:lpstr>Tab 1a</vt:lpstr>
      <vt:lpstr>Tab 1b</vt:lpstr>
      <vt:lpstr>Tab 2</vt:lpstr>
      <vt:lpstr>Tab 3</vt:lpstr>
      <vt:lpstr>Tab 4</vt:lpstr>
      <vt:lpstr>Tab 5</vt:lpstr>
      <vt:lpstr>Tab 6</vt:lpstr>
      <vt:lpstr>Tab 7</vt:lpstr>
      <vt:lpstr>Tab 8</vt:lpstr>
      <vt:lpstr>Tab 9</vt:lpstr>
      <vt:lpstr>Tab 10</vt:lpstr>
      <vt:lpstr>Tab 11</vt:lpstr>
      <vt:lpstr>Tab 12</vt:lpstr>
      <vt:lpstr>Tab 13</vt:lpstr>
      <vt:lpstr>Tab 14</vt:lpstr>
      <vt:lpstr>Tab 15</vt:lpstr>
      <vt:lpstr>Tab 16</vt:lpstr>
      <vt:lpstr>Tab 17</vt:lpstr>
      <vt:lpstr>Tab 18</vt:lpstr>
      <vt:lpstr>Tab 19</vt:lpstr>
      <vt:lpstr>'Tab 1'!Print_Area</vt:lpstr>
      <vt:lpstr>'Tab 10'!Print_Area</vt:lpstr>
      <vt:lpstr>'Tab 11'!Print_Area</vt:lpstr>
      <vt:lpstr>'Tab 12'!Print_Area</vt:lpstr>
      <vt:lpstr>'Tab 13'!Print_Area</vt:lpstr>
      <vt:lpstr>'Tab 14'!Print_Area</vt:lpstr>
      <vt:lpstr>'Tab 15'!Print_Area</vt:lpstr>
      <vt:lpstr>'Tab 16'!Print_Area</vt:lpstr>
      <vt:lpstr>'Tab 17'!Print_Area</vt:lpstr>
      <vt:lpstr>'Tab 18'!Print_Area</vt:lpstr>
      <vt:lpstr>'Tab 19'!Print_Area</vt:lpstr>
      <vt:lpstr>'Tab 1a'!Print_Area</vt:lpstr>
      <vt:lpstr>'Tab 1b'!Print_Area</vt:lpstr>
      <vt:lpstr>'Tab 2'!Print_Area</vt:lpstr>
      <vt:lpstr>'Tab 3'!Print_Area</vt:lpstr>
      <vt:lpstr>'Tab 4'!Print_Area</vt:lpstr>
      <vt:lpstr>'Tab 5'!Print_Area</vt:lpstr>
      <vt:lpstr>'Tab 6'!Print_Area</vt:lpstr>
      <vt:lpstr>'Tab 7'!Print_Area</vt:lpstr>
      <vt:lpstr>'Tab 8'!Print_Area</vt:lpstr>
      <vt:lpstr>'Tab 9'!Print_Area</vt:lpstr>
      <vt:lpstr>'Tab 10'!Print_Titles</vt:lpstr>
      <vt:lpstr>'Tab 19'!Print_Titles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Shardhanjali Bedacee</dc:creator>
  <cp:lastModifiedBy>Shardhanjali Bedacee</cp:lastModifiedBy>
  <cp:lastPrinted>2026-04-29T11:36:28Z</cp:lastPrinted>
  <dcterms:created xsi:type="dcterms:W3CDTF">2015-06-05T18:17:20Z</dcterms:created>
  <dcterms:modified xsi:type="dcterms:W3CDTF">2026-04-30T13:29:04Z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0x01010088D26D7729DC404C8656BACE387338A9</vt:lpwstr>
  </property>
</Properties>
</file>